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5440" windowHeight="12435" activeTab="2"/>
  </bookViews>
  <sheets>
    <sheet name="Guide" sheetId="2" r:id="rId1"/>
    <sheet name="Site et projet" sheetId="1" r:id="rId2"/>
    <sheet name="Compensation" sheetId="10" r:id="rId3"/>
    <sheet name="Pluies" sheetId="11" r:id="rId4"/>
    <sheet name="Listes déroulantes" sheetId="5" r:id="rId5"/>
  </sheets>
  <definedNames>
    <definedName name="_xlnm._FilterDatabase" localSheetId="4" hidden="1">'Listes déroulantes'!$P$3:$P$14</definedName>
    <definedName name="Agricole">'Listes déroulantes'!$H$3:$H$6</definedName>
    <definedName name="Communes">'Listes déroulantes'!$P$3:$P$14</definedName>
    <definedName name="Couverture_sols">'Listes déroulantes'!$D$3:$D$11</definedName>
    <definedName name="Densité_drainage">'Listes déroulantes'!$L$3:$L$6</definedName>
    <definedName name="Dispositif">'Listes déroulantes'!$A$19:$A$21</definedName>
    <definedName name="Etat_bassin">'Listes déroulantes'!$D$19:$D$22</definedName>
    <definedName name="Géologie">'Listes déroulantes'!$N$3:$N$9</definedName>
    <definedName name="Habitat">'Listes déroulantes'!$F$3:$F$8</definedName>
    <definedName name="Nature_drain">'Listes déroulantes'!$A$3:$A$10</definedName>
    <definedName name="Naturel">'Listes déroulantes'!$J$3:$J$6</definedName>
    <definedName name="Sensité_drainage">'Listes déroulantes'!$L$3:$L$6</definedName>
  </definedNames>
  <calcPr calcId="144525"/>
</workbook>
</file>

<file path=xl/calcChain.xml><?xml version="1.0" encoding="utf-8"?>
<calcChain xmlns="http://schemas.openxmlformats.org/spreadsheetml/2006/main">
  <c r="J12" i="1" l="1"/>
  <c r="C61" i="10" l="1"/>
  <c r="C60" i="10"/>
  <c r="C59" i="10"/>
  <c r="C58" i="10"/>
  <c r="C57" i="10"/>
  <c r="C56" i="10"/>
  <c r="C55" i="10"/>
  <c r="C54" i="10"/>
  <c r="C53" i="10"/>
  <c r="C52" i="10"/>
  <c r="C51" i="10"/>
  <c r="C50" i="10"/>
  <c r="C49" i="10"/>
  <c r="C48" i="10"/>
  <c r="C47" i="10"/>
  <c r="C46" i="10"/>
  <c r="C45" i="10"/>
  <c r="C44" i="10"/>
  <c r="C43" i="10"/>
  <c r="E4" i="10"/>
  <c r="H37" i="10" l="1"/>
  <c r="H36" i="10"/>
  <c r="H35" i="10"/>
  <c r="H34" i="10"/>
  <c r="H33" i="10"/>
  <c r="B37" i="10"/>
  <c r="B36" i="10"/>
  <c r="B35" i="10"/>
  <c r="B34" i="10"/>
  <c r="B33" i="10"/>
  <c r="B32" i="10"/>
  <c r="H32" i="10"/>
  <c r="H30" i="10"/>
  <c r="H29" i="10"/>
  <c r="H28" i="10"/>
  <c r="H27" i="10"/>
  <c r="H26" i="10"/>
  <c r="H25" i="10"/>
  <c r="H24" i="10"/>
  <c r="H23" i="10"/>
  <c r="H22" i="10"/>
  <c r="H21" i="10"/>
  <c r="H20" i="10"/>
  <c r="H19" i="10"/>
  <c r="B30" i="10"/>
  <c r="B29" i="10"/>
  <c r="B28" i="10"/>
  <c r="B27" i="10"/>
  <c r="B26" i="10"/>
  <c r="B25" i="10"/>
  <c r="B24" i="10"/>
  <c r="B23" i="10"/>
  <c r="B22" i="10"/>
  <c r="B21" i="10"/>
  <c r="B20" i="10"/>
  <c r="B19" i="10"/>
  <c r="H31" i="10" l="1"/>
  <c r="B31" i="10"/>
  <c r="J17" i="1"/>
  <c r="E6" i="10" s="1"/>
  <c r="F22" i="1"/>
  <c r="L6" i="10" s="1"/>
  <c r="I17" i="1"/>
  <c r="E7" i="10" l="1"/>
  <c r="I35" i="10" s="1"/>
  <c r="I12" i="1"/>
  <c r="C37" i="10" l="1"/>
  <c r="D61" i="10" s="1"/>
  <c r="Q6" i="10"/>
  <c r="C21" i="10"/>
  <c r="C29" i="10"/>
  <c r="D53" i="10" s="1"/>
  <c r="I20" i="10"/>
  <c r="C30" i="10"/>
  <c r="D54" i="10" s="1"/>
  <c r="I24" i="10"/>
  <c r="E48" i="10" s="1"/>
  <c r="I19" i="10"/>
  <c r="E43" i="10" s="1"/>
  <c r="I36" i="10"/>
  <c r="E60" i="10" s="1"/>
  <c r="C35" i="10"/>
  <c r="D59" i="10" s="1"/>
  <c r="C28" i="10"/>
  <c r="D52" i="10" s="1"/>
  <c r="I26" i="10"/>
  <c r="E50" i="10" s="1"/>
  <c r="C23" i="10"/>
  <c r="D47" i="10" s="1"/>
  <c r="C34" i="10"/>
  <c r="D58" i="10" s="1"/>
  <c r="C36" i="10"/>
  <c r="D60" i="10" s="1"/>
  <c r="I21" i="10"/>
  <c r="E45" i="10" s="1"/>
  <c r="I30" i="10"/>
  <c r="I28" i="10"/>
  <c r="E52" i="10" s="1"/>
  <c r="I31" i="10"/>
  <c r="E55" i="10" s="1"/>
  <c r="C33" i="10"/>
  <c r="D57" i="10" s="1"/>
  <c r="C19" i="10"/>
  <c r="D43" i="10" s="1"/>
  <c r="C20" i="10"/>
  <c r="D44" i="10" s="1"/>
  <c r="I25" i="10"/>
  <c r="E49" i="10" s="1"/>
  <c r="I22" i="10"/>
  <c r="E46" i="10" s="1"/>
  <c r="C22" i="10"/>
  <c r="D46" i="10" s="1"/>
  <c r="I23" i="10"/>
  <c r="E47" i="10" s="1"/>
  <c r="I37" i="10"/>
  <c r="E61" i="10" s="1"/>
  <c r="I32" i="10"/>
  <c r="C32" i="10"/>
  <c r="D56" i="10" s="1"/>
  <c r="I33" i="10"/>
  <c r="E57" i="10" s="1"/>
  <c r="C27" i="10"/>
  <c r="D51" i="10" s="1"/>
  <c r="C24" i="10"/>
  <c r="D48" i="10" s="1"/>
  <c r="I29" i="10"/>
  <c r="E53" i="10" s="1"/>
  <c r="C25" i="10"/>
  <c r="D49" i="10" s="1"/>
  <c r="C26" i="10"/>
  <c r="D50" i="10" s="1"/>
  <c r="I27" i="10"/>
  <c r="E51" i="10" s="1"/>
  <c r="I34" i="10"/>
  <c r="C31" i="10"/>
  <c r="D55" i="10" s="1"/>
  <c r="D45" i="10"/>
  <c r="E59" i="10"/>
  <c r="G13" i="1"/>
  <c r="E5" i="10"/>
  <c r="G18" i="1"/>
  <c r="C18" i="1"/>
  <c r="F18" i="1"/>
  <c r="B18" i="1"/>
  <c r="E18" i="1"/>
  <c r="H18" i="1"/>
  <c r="D18" i="1"/>
  <c r="H13" i="1"/>
  <c r="D13" i="1"/>
  <c r="E13" i="1"/>
  <c r="B13" i="1"/>
  <c r="F13" i="1"/>
  <c r="C13" i="1"/>
  <c r="Q5" i="10" l="1"/>
  <c r="E9" i="10"/>
  <c r="E44" i="10"/>
  <c r="E54" i="10"/>
  <c r="E58" i="10"/>
  <c r="E56" i="10"/>
  <c r="D37" i="10" l="1"/>
  <c r="E37" i="10" s="1"/>
  <c r="J32" i="10"/>
  <c r="J31" i="10"/>
  <c r="J21" i="10"/>
  <c r="J35" i="10"/>
  <c r="D29" i="10"/>
  <c r="E29" i="10" s="1"/>
  <c r="J24" i="10"/>
  <c r="J22" i="10"/>
  <c r="J36" i="10"/>
  <c r="D35" i="10"/>
  <c r="E35" i="10" s="1"/>
  <c r="J30" i="10"/>
  <c r="D24" i="10"/>
  <c r="E24" i="10" s="1"/>
  <c r="D22" i="10"/>
  <c r="E22" i="10" s="1"/>
  <c r="D27" i="10"/>
  <c r="E27" i="10" s="1"/>
  <c r="D25" i="10"/>
  <c r="E25" i="10" s="1"/>
  <c r="J20" i="10"/>
  <c r="J34" i="10"/>
  <c r="J37" i="10"/>
  <c r="D31" i="10"/>
  <c r="E31" i="10" s="1"/>
  <c r="D20" i="10"/>
  <c r="E20" i="10" s="1"/>
  <c r="D34" i="10"/>
  <c r="E34" i="10" s="1"/>
  <c r="D21" i="10"/>
  <c r="E21" i="10" s="1"/>
  <c r="J33" i="10"/>
  <c r="D28" i="10"/>
  <c r="E28" i="10" s="1"/>
  <c r="D26" i="10"/>
  <c r="E26" i="10" s="1"/>
  <c r="J23" i="10"/>
  <c r="J25" i="10"/>
  <c r="D19" i="10"/>
  <c r="E19" i="10" s="1"/>
  <c r="D33" i="10"/>
  <c r="E33" i="10" s="1"/>
  <c r="J28" i="10"/>
  <c r="J19" i="10"/>
  <c r="D36" i="10"/>
  <c r="E36" i="10" s="1"/>
  <c r="J27" i="10"/>
  <c r="J29" i="10"/>
  <c r="D23" i="10"/>
  <c r="E23" i="10" s="1"/>
  <c r="D30" i="10"/>
  <c r="E30" i="10" s="1"/>
  <c r="J26" i="10"/>
  <c r="D32" i="10"/>
  <c r="E32" i="10" s="1"/>
  <c r="E38" i="10" l="1"/>
  <c r="E39" i="10" s="1"/>
  <c r="F43" i="10"/>
  <c r="K19" i="10"/>
  <c r="F49" i="10"/>
  <c r="K25" i="10"/>
  <c r="F57" i="10"/>
  <c r="K33" i="10"/>
  <c r="F54" i="10"/>
  <c r="K30" i="10"/>
  <c r="F48" i="10"/>
  <c r="K24" i="10"/>
  <c r="F55" i="10"/>
  <c r="K31" i="10"/>
  <c r="F50" i="10"/>
  <c r="K26" i="10"/>
  <c r="F44" i="10"/>
  <c r="K20" i="10"/>
  <c r="F46" i="10"/>
  <c r="K22" i="10"/>
  <c r="F45" i="10"/>
  <c r="K21" i="10"/>
  <c r="F53" i="10"/>
  <c r="K29" i="10"/>
  <c r="F52" i="10"/>
  <c r="K28" i="10"/>
  <c r="F47" i="10"/>
  <c r="K23" i="10"/>
  <c r="F61" i="10"/>
  <c r="K37" i="10"/>
  <c r="F56" i="10"/>
  <c r="K32" i="10"/>
  <c r="F51" i="10"/>
  <c r="K27" i="10"/>
  <c r="F58" i="10"/>
  <c r="K34" i="10"/>
  <c r="F60" i="10"/>
  <c r="K36" i="10"/>
  <c r="F59" i="10"/>
  <c r="K35" i="10"/>
  <c r="K38" i="10" l="1"/>
  <c r="K39" i="10" s="1"/>
  <c r="L5" i="10" s="1"/>
  <c r="L7" i="10" s="1"/>
</calcChain>
</file>

<file path=xl/sharedStrings.xml><?xml version="1.0" encoding="utf-8"?>
<sst xmlns="http://schemas.openxmlformats.org/spreadsheetml/2006/main" count="295" uniqueCount="190">
  <si>
    <t>Commune</t>
  </si>
  <si>
    <t>Maître d'ouvrage</t>
  </si>
  <si>
    <t>Bureau d'étude</t>
  </si>
  <si>
    <t>Date</t>
  </si>
  <si>
    <t>Catégorie</t>
  </si>
  <si>
    <t>Surface</t>
  </si>
  <si>
    <t>%</t>
  </si>
  <si>
    <t>Toiture</t>
  </si>
  <si>
    <t>Pleine terre à nu</t>
  </si>
  <si>
    <t>Piscine ou mare</t>
  </si>
  <si>
    <t>Surface totale</t>
  </si>
  <si>
    <t xml:space="preserve">Pente générale du site du projet : </t>
  </si>
  <si>
    <t>Surface active</t>
  </si>
  <si>
    <t>Si le site du projet intercepte un bassin versant :</t>
  </si>
  <si>
    <t>Si la surface du bassin versant intercepté majoré de la surface de projet dépasse 1 hectare, le projet est soumis à déclaration au titre de la Loi sur l'Eau</t>
  </si>
  <si>
    <t>Si cette surface totale dépasse 10 hectares, le projet est soumis à autorisation préfectorale au titre de la Loi sur l'Eau</t>
  </si>
  <si>
    <t>Localisation (adresse)</t>
  </si>
  <si>
    <t>Parcelles</t>
  </si>
  <si>
    <t>Objet du projet</t>
  </si>
  <si>
    <t xml:space="preserve">Nature de drain </t>
  </si>
  <si>
    <t>Fossé enherbé</t>
  </si>
  <si>
    <t>Fossé en terre</t>
  </si>
  <si>
    <t>Fossé en béton</t>
  </si>
  <si>
    <t>Cunette ou caniveau</t>
  </si>
  <si>
    <t>Collecteur en béton</t>
  </si>
  <si>
    <t>Ruisseau</t>
  </si>
  <si>
    <t>Chemin</t>
  </si>
  <si>
    <t>Couverture des sols</t>
  </si>
  <si>
    <t>Centre ville</t>
  </si>
  <si>
    <t>Champ</t>
  </si>
  <si>
    <t>Prairie</t>
  </si>
  <si>
    <t>Verger</t>
  </si>
  <si>
    <t>Vigne</t>
  </si>
  <si>
    <t>Garrigue</t>
  </si>
  <si>
    <t>Boisement</t>
  </si>
  <si>
    <t>Zone d'activité</t>
  </si>
  <si>
    <t>Usages urbain</t>
  </si>
  <si>
    <t>Usage agricole</t>
  </si>
  <si>
    <t>Usage naturel</t>
  </si>
  <si>
    <t>Habitat dense</t>
  </si>
  <si>
    <t>Pavillons avec cour</t>
  </si>
  <si>
    <t>Villas avec parc</t>
  </si>
  <si>
    <t>Villas avec jardin</t>
  </si>
  <si>
    <t>Enherbement permanent</t>
  </si>
  <si>
    <t>Parcelles fauchées</t>
  </si>
  <si>
    <t>Pas de défrichement</t>
  </si>
  <si>
    <t>Défrichement moyen</t>
  </si>
  <si>
    <t>Défrichement intense</t>
  </si>
  <si>
    <t>Zone urbaine</t>
  </si>
  <si>
    <t xml:space="preserve"> ---</t>
  </si>
  <si>
    <t>Réseau drainage</t>
  </si>
  <si>
    <t>Très dense</t>
  </si>
  <si>
    <t>Dense</t>
  </si>
  <si>
    <t>Peu dense</t>
  </si>
  <si>
    <t>Géologie</t>
  </si>
  <si>
    <t>Arène sur granite</t>
  </si>
  <si>
    <t>Schistes</t>
  </si>
  <si>
    <t>Grès fracturé</t>
  </si>
  <si>
    <t>Grès compact</t>
  </si>
  <si>
    <t>Sable</t>
  </si>
  <si>
    <t>Argile ou limon</t>
  </si>
  <si>
    <t>Description du projet (surfaces en m²) :</t>
  </si>
  <si>
    <t>Communes</t>
  </si>
  <si>
    <t>Sainte-Maxime</t>
  </si>
  <si>
    <t>Le Plan-de-La-Tour</t>
  </si>
  <si>
    <t>La Garde-Freinet</t>
  </si>
  <si>
    <t>Grimaud</t>
  </si>
  <si>
    <t>Cogolin</t>
  </si>
  <si>
    <t>La Mole</t>
  </si>
  <si>
    <t>Rayol-Canadel-sur-Mer</t>
  </si>
  <si>
    <t>Cavalaire-sur-Mer</t>
  </si>
  <si>
    <t>La Croix-Valmer</t>
  </si>
  <si>
    <t>Ramatuelle</t>
  </si>
  <si>
    <t>Gassin</t>
  </si>
  <si>
    <t>Saint-Tropez</t>
  </si>
  <si>
    <t xml:space="preserve">Espace vert </t>
  </si>
  <si>
    <t>Pelouse / potager</t>
  </si>
  <si>
    <t>Voies en graviers</t>
  </si>
  <si>
    <t>Dispositif</t>
  </si>
  <si>
    <t>Bassin de rétention</t>
  </si>
  <si>
    <t>Mare ou dépression</t>
  </si>
  <si>
    <t>Etat bassin</t>
  </si>
  <si>
    <t>Vide</t>
  </si>
  <si>
    <t>Plein</t>
  </si>
  <si>
    <t>A moitié plein</t>
  </si>
  <si>
    <t>Voies revêtues</t>
  </si>
  <si>
    <t>Parcelles désherbées</t>
  </si>
  <si>
    <t>Etat initial du site du projet (surfaces en m²) :</t>
  </si>
  <si>
    <t>Terre agricole</t>
  </si>
  <si>
    <t>Espace boisé</t>
  </si>
  <si>
    <t xml:space="preserve">Si l'étude concerne un projet d'aménagement susceptible de créer une imperméabilisation des sols : </t>
  </si>
  <si>
    <t>Dimensionnement du dispostif de rétention</t>
  </si>
  <si>
    <t xml:space="preserve">Région pluviométrique selon la carte de la CCGST : </t>
  </si>
  <si>
    <t>Région pluvio</t>
  </si>
  <si>
    <t>Région 1</t>
  </si>
  <si>
    <t>Région 2</t>
  </si>
  <si>
    <t>Région 3</t>
  </si>
  <si>
    <t xml:space="preserve"> (destiné à compenser l'imperméabilisation des sols)</t>
  </si>
  <si>
    <t xml:space="preserve">Rappel des paramètres : </t>
  </si>
  <si>
    <t xml:space="preserve"> - Surface aménagée :  </t>
  </si>
  <si>
    <t xml:space="preserve"> - Région pluviométrique : </t>
  </si>
  <si>
    <t xml:space="preserve"> - Surface active initiale : </t>
  </si>
  <si>
    <t xml:space="preserve"> - Surface active après aménagement :</t>
  </si>
  <si>
    <t xml:space="preserve">Débit de fuite de l'ouvrage de régulation : </t>
  </si>
  <si>
    <t>Pluies de projet du référentiel hydrologique</t>
  </si>
  <si>
    <t>Pluies brèves</t>
  </si>
  <si>
    <t>Pluies longues</t>
  </si>
  <si>
    <t>Durée</t>
  </si>
  <si>
    <t>Période de retour</t>
  </si>
  <si>
    <t>2 ans</t>
  </si>
  <si>
    <t>5 ans</t>
  </si>
  <si>
    <t>10 ans</t>
  </si>
  <si>
    <t>20 ans</t>
  </si>
  <si>
    <t>50 ans</t>
  </si>
  <si>
    <t>100 ans</t>
  </si>
  <si>
    <t>1 h</t>
  </si>
  <si>
    <t>2 h</t>
  </si>
  <si>
    <t>3 h</t>
  </si>
  <si>
    <t>4 h</t>
  </si>
  <si>
    <t>6 h</t>
  </si>
  <si>
    <t>12 h</t>
  </si>
  <si>
    <t>24 h</t>
  </si>
  <si>
    <t>Coefficient</t>
  </si>
  <si>
    <t>30 ans</t>
  </si>
  <si>
    <t>a</t>
  </si>
  <si>
    <t>b</t>
  </si>
  <si>
    <t>Coefficients de Montana</t>
  </si>
  <si>
    <r>
      <t>H = a.t</t>
    </r>
    <r>
      <rPr>
        <vertAlign val="superscript"/>
        <sz val="11"/>
        <color theme="1"/>
        <rFont val="Calibri"/>
        <family val="2"/>
        <scheme val="minor"/>
      </rPr>
      <t>1-b</t>
    </r>
  </si>
  <si>
    <t>Pluies exceptionnelles</t>
  </si>
  <si>
    <t>6 min</t>
  </si>
  <si>
    <t>15 min</t>
  </si>
  <si>
    <t>30 min</t>
  </si>
  <si>
    <t>Cumul</t>
  </si>
  <si>
    <t>25 mm</t>
  </si>
  <si>
    <t>47 mm</t>
  </si>
  <si>
    <t>72 mm</t>
  </si>
  <si>
    <t>224 mm</t>
  </si>
  <si>
    <t>285 mm</t>
  </si>
  <si>
    <t>115 mm</t>
  </si>
  <si>
    <t>175 mm</t>
  </si>
  <si>
    <t>177 mm</t>
  </si>
  <si>
    <t>Durée de</t>
  </si>
  <si>
    <t>Volume</t>
  </si>
  <si>
    <t>Volume de</t>
  </si>
  <si>
    <t>la pluie</t>
  </si>
  <si>
    <t>ruisselé</t>
  </si>
  <si>
    <t>sortie</t>
  </si>
  <si>
    <t>rétention</t>
  </si>
  <si>
    <t>(min)</t>
  </si>
  <si>
    <t>(m³)</t>
  </si>
  <si>
    <t>T</t>
  </si>
  <si>
    <t>(3)-(4)</t>
  </si>
  <si>
    <t>(1)</t>
  </si>
  <si>
    <t>(2)</t>
  </si>
  <si>
    <t>(3)</t>
  </si>
  <si>
    <t>(4)</t>
  </si>
  <si>
    <t>(5)</t>
  </si>
  <si>
    <t>Volume maximum :</t>
  </si>
  <si>
    <t>Volume de conception (V max * 1.1) :</t>
  </si>
  <si>
    <t>Evénement de fréquence trentennale</t>
  </si>
  <si>
    <t>Evénement de fréquence centennale</t>
  </si>
  <si>
    <t>sur la durée</t>
  </si>
  <si>
    <t>Pluie cumulée</t>
  </si>
  <si>
    <t>(mm)</t>
  </si>
  <si>
    <t>H</t>
  </si>
  <si>
    <t>H x Sa</t>
  </si>
  <si>
    <t>Qf x T</t>
  </si>
  <si>
    <t>NB : Sa est la surface active du site du projet après aménagement</t>
  </si>
  <si>
    <t>m²</t>
  </si>
  <si>
    <t>l/s</t>
  </si>
  <si>
    <r>
      <t>m</t>
    </r>
    <r>
      <rPr>
        <vertAlign val="superscript"/>
        <sz val="11"/>
        <color theme="1"/>
        <rFont val="Calibri"/>
        <family val="2"/>
        <scheme val="minor"/>
      </rPr>
      <t>3</t>
    </r>
  </si>
  <si>
    <t xml:space="preserve">Bilan : </t>
  </si>
  <si>
    <t xml:space="preserve">Méthode des pluies : </t>
  </si>
  <si>
    <t>Volume de rétention</t>
  </si>
  <si>
    <t xml:space="preserve">VALEUR RETENUE : </t>
  </si>
  <si>
    <t>Dimensionnement de la capacité de rétention par la méthode des pluies :</t>
  </si>
  <si>
    <t>Le présent classeur est destinée à préparer les paramètres nécessaires à la modélisation hydrologique et au calcul d'un éventuel bassin de rétention</t>
  </si>
  <si>
    <t xml:space="preserve">Si ce bassin versant se décompose en sous-bassins versants, éventuellement de caractéristiques très différentes ou associés à des branches différentes de réseau :   </t>
  </si>
  <si>
    <r>
      <rPr>
        <sz val="11"/>
        <color theme="1"/>
        <rFont val="Calibri"/>
        <family val="2"/>
      </rPr>
      <t>→</t>
    </r>
    <r>
      <rPr>
        <sz val="11"/>
        <color theme="1"/>
        <rFont val="Calibri"/>
        <family val="2"/>
        <scheme val="minor"/>
      </rPr>
      <t xml:space="preserve"> sur la feuille "Site et projet", renseigner le descriptif du projet d'aménagement, sans oublier les paramètres réglementaires relatifs au débit (de fuite) et au volume de rétention en bas de la feuille</t>
    </r>
  </si>
  <si>
    <r>
      <rPr>
        <sz val="11"/>
        <color theme="1"/>
        <rFont val="Calibri"/>
        <family val="2"/>
      </rPr>
      <t>→</t>
    </r>
    <r>
      <rPr>
        <sz val="11"/>
        <color theme="1"/>
        <rFont val="Calibri"/>
        <family val="2"/>
        <scheme val="minor"/>
      </rPr>
      <t xml:space="preserve"> la feuille "Compensation" calcule selon deux méthodes le volume de rétention à prévoir et le débit maximal en sortie de l'organe de régulation du bassin de rétention</t>
    </r>
  </si>
  <si>
    <r>
      <rPr>
        <sz val="11"/>
        <color theme="1"/>
        <rFont val="Calibri"/>
        <family val="2"/>
      </rPr>
      <t>→</t>
    </r>
    <r>
      <rPr>
        <sz val="11"/>
        <color theme="1"/>
        <rFont val="Calibri"/>
        <family val="2"/>
        <scheme val="minor"/>
      </rPr>
      <t xml:space="preserve"> sur la feuille "Site et projet", renseigner autant de données de bassins versants que nécessaire (6 au maximum)</t>
    </r>
  </si>
  <si>
    <t>Règle de dimensionnement des bassins de rétention, le cas échéant :</t>
  </si>
  <si>
    <r>
      <t>Capacité de rétention à prévoir selon règle DDTM  (en m</t>
    </r>
    <r>
      <rPr>
        <b/>
        <vertAlign val="superscript"/>
        <sz val="11"/>
        <color theme="1"/>
        <rFont val="Calibri"/>
        <family val="2"/>
        <scheme val="minor"/>
      </rPr>
      <t>3</t>
    </r>
    <r>
      <rPr>
        <b/>
        <sz val="11"/>
        <color theme="1"/>
        <rFont val="Calibri"/>
        <family val="2"/>
        <scheme val="minor"/>
      </rPr>
      <t>)</t>
    </r>
  </si>
  <si>
    <t xml:space="preserve">Règle de la DDTM : </t>
  </si>
  <si>
    <t xml:space="preserve">Les surfaces doivent être identiques </t>
  </si>
  <si>
    <r>
      <t>m</t>
    </r>
    <r>
      <rPr>
        <vertAlign val="superscript"/>
        <sz val="11"/>
        <color theme="1"/>
        <rFont val="Calibri"/>
        <family val="2"/>
        <scheme val="minor"/>
      </rPr>
      <t>3</t>
    </r>
    <r>
      <rPr>
        <sz val="11"/>
        <color theme="1"/>
        <rFont val="Calibri"/>
        <family val="2"/>
        <scheme val="minor"/>
      </rPr>
      <t xml:space="preserve"> par hectare de surface active (soit 100l/m² de surface imperméabilisée cf MISEN Janvier 2014)</t>
    </r>
  </si>
  <si>
    <t>Qf surf parcelle</t>
  </si>
  <si>
    <t>Qf surf active</t>
  </si>
  <si>
    <t>l/s / ha de surface active</t>
  </si>
  <si>
    <t xml:space="preserve">Ratio de débit de fuite :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</si>
</sst>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000"/>
    <numFmt numFmtId="168" formatCode="[$-F800]dddd\,\ mmmm\ dd\,\ yyyy"/>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sz val="11"/>
      <color theme="1"/>
      <name val="Calibri"/>
      <family val="2"/>
    </font>
    <font>
      <b/>
      <sz val="14"/>
      <color theme="1"/>
      <name val="Calibri"/>
      <family val="2"/>
      <scheme val="minor"/>
    </font>
    <font>
      <b/>
      <sz val="12"/>
      <color theme="1"/>
      <name val="Calibri"/>
      <family val="2"/>
      <scheme val="minor"/>
    </font>
    <font>
      <b/>
      <u/>
      <sz val="11"/>
      <color theme="1"/>
      <name val="Calibri"/>
      <family val="2"/>
      <scheme val="minor"/>
    </font>
    <font>
      <vertAlign val="superscript"/>
      <sz val="11"/>
      <color theme="1"/>
      <name val="Calibri"/>
      <family val="2"/>
      <scheme val="minor"/>
    </font>
    <font>
      <b/>
      <sz val="11"/>
      <name val="Calibri"/>
      <family val="2"/>
      <scheme val="minor"/>
    </font>
    <font>
      <sz val="10"/>
      <color theme="1"/>
      <name val="Book Antiqua"/>
      <family val="1"/>
    </font>
    <font>
      <b/>
      <sz val="10"/>
      <color theme="1"/>
      <name val="Book Antiqua"/>
      <family val="1"/>
    </font>
    <font>
      <sz val="8"/>
      <color theme="1"/>
      <name val="Book Antiqua"/>
      <family val="1"/>
    </font>
    <font>
      <sz val="10"/>
      <name val="Arial"/>
      <family val="2"/>
    </font>
    <font>
      <b/>
      <sz val="9"/>
      <name val="Garamond"/>
      <family val="1"/>
    </font>
    <font>
      <sz val="9"/>
      <name val="Garamond"/>
      <family val="1"/>
    </font>
    <font>
      <b/>
      <i/>
      <sz val="9"/>
      <name val="Garamond"/>
      <family val="1"/>
    </font>
    <font>
      <sz val="11"/>
      <color rgb="FF00B0F0"/>
      <name val="Calibri"/>
      <family val="2"/>
      <scheme val="minor"/>
    </font>
    <font>
      <sz val="8"/>
      <color theme="1"/>
      <name val="Calibri"/>
      <family val="2"/>
      <scheme val="minor"/>
    </font>
    <font>
      <b/>
      <u/>
      <sz val="12"/>
      <color theme="1"/>
      <name val="Calibri"/>
      <family val="2"/>
      <scheme val="minor"/>
    </font>
    <font>
      <b/>
      <vertAlign val="superscrip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49">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rgb="FF00B0F0"/>
      </left>
      <right style="medium">
        <color rgb="FF00B0F0"/>
      </right>
      <top style="medium">
        <color rgb="FF00B0F0"/>
      </top>
      <bottom style="medium">
        <color rgb="FF00B0F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114">
    <xf numFmtId="0" fontId="0" fillId="0" borderId="0" xfId="0"/>
    <xf numFmtId="0" fontId="1" fillId="0" borderId="0" xfId="0" applyFont="1"/>
    <xf numFmtId="0" fontId="6" fillId="0" borderId="0" xfId="0" applyFont="1"/>
    <xf numFmtId="0" fontId="0" fillId="0" borderId="0" xfId="0" applyFont="1" applyAlignment="1">
      <alignment horizontal="center"/>
    </xf>
    <xf numFmtId="0" fontId="0" fillId="0" borderId="0" xfId="0"/>
    <xf numFmtId="0" fontId="0" fillId="0" borderId="0" xfId="0" applyAlignment="1">
      <alignment horizontal="center"/>
    </xf>
    <xf numFmtId="0" fontId="5" fillId="0" borderId="0" xfId="0" applyFont="1"/>
    <xf numFmtId="0" fontId="0" fillId="0" borderId="23" xfId="0" applyBorder="1"/>
    <xf numFmtId="0" fontId="1" fillId="0" borderId="11" xfId="0" applyFont="1" applyBorder="1" applyAlignment="1">
      <alignment horizontal="center"/>
    </xf>
    <xf numFmtId="0" fontId="0" fillId="0" borderId="11" xfId="0" applyBorder="1"/>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center" vertical="center" wrapText="1"/>
    </xf>
    <xf numFmtId="0" fontId="15" fillId="0" borderId="24" xfId="1" applyFont="1" applyBorder="1"/>
    <xf numFmtId="0" fontId="14" fillId="0" borderId="25" xfId="1" applyFont="1" applyBorder="1"/>
    <xf numFmtId="2" fontId="14" fillId="0" borderId="26" xfId="1" applyNumberFormat="1" applyFont="1" applyBorder="1" applyAlignment="1">
      <alignment horizontal="center"/>
    </xf>
    <xf numFmtId="0" fontId="13" fillId="0" borderId="27" xfId="1" applyFont="1" applyBorder="1"/>
    <xf numFmtId="0" fontId="14" fillId="0" borderId="28" xfId="1" applyFont="1" applyBorder="1"/>
    <xf numFmtId="2" fontId="13" fillId="0" borderId="29" xfId="1" applyNumberFormat="1" applyFont="1" applyBorder="1" applyAlignment="1">
      <alignment horizontal="center"/>
    </xf>
    <xf numFmtId="0" fontId="13" fillId="2" borderId="30" xfId="1" applyFont="1" applyFill="1" applyBorder="1" applyAlignment="1">
      <alignment horizontal="center"/>
    </xf>
    <xf numFmtId="0" fontId="13" fillId="2" borderId="31" xfId="1" applyFont="1" applyFill="1" applyBorder="1" applyAlignment="1">
      <alignment horizontal="center"/>
    </xf>
    <xf numFmtId="0" fontId="13" fillId="2" borderId="32" xfId="1" applyFont="1" applyFill="1" applyBorder="1" applyAlignment="1">
      <alignment horizontal="center"/>
    </xf>
    <xf numFmtId="0" fontId="13" fillId="2" borderId="33" xfId="1" applyFont="1" applyFill="1" applyBorder="1" applyAlignment="1">
      <alignment horizontal="center"/>
    </xf>
    <xf numFmtId="0" fontId="13" fillId="2" borderId="34" xfId="1" applyFont="1" applyFill="1" applyBorder="1" applyAlignment="1">
      <alignment horizontal="center"/>
    </xf>
    <xf numFmtId="0" fontId="13" fillId="2" borderId="35" xfId="1" applyFont="1" applyFill="1" applyBorder="1" applyAlignment="1">
      <alignment horizontal="center"/>
    </xf>
    <xf numFmtId="0" fontId="14" fillId="2" borderId="36" xfId="1" applyFont="1" applyFill="1" applyBorder="1" applyAlignment="1">
      <alignment horizontal="center"/>
    </xf>
    <xf numFmtId="0" fontId="14" fillId="2" borderId="37" xfId="1" applyFont="1" applyFill="1" applyBorder="1" applyAlignment="1">
      <alignment horizontal="center"/>
    </xf>
    <xf numFmtId="0" fontId="14" fillId="2" borderId="38" xfId="1" applyFont="1" applyFill="1" applyBorder="1" applyAlignment="1">
      <alignment horizontal="center"/>
    </xf>
    <xf numFmtId="49" fontId="14" fillId="2" borderId="39" xfId="1" applyNumberFormat="1" applyFont="1" applyFill="1" applyBorder="1" applyAlignment="1">
      <alignment horizontal="center"/>
    </xf>
    <xf numFmtId="49" fontId="14" fillId="2" borderId="40" xfId="1" applyNumberFormat="1" applyFont="1" applyFill="1" applyBorder="1" applyAlignment="1">
      <alignment horizontal="center"/>
    </xf>
    <xf numFmtId="49" fontId="14" fillId="2" borderId="41" xfId="1" applyNumberFormat="1" applyFont="1" applyFill="1" applyBorder="1" applyAlignment="1">
      <alignment horizontal="center"/>
    </xf>
    <xf numFmtId="165" fontId="14" fillId="0" borderId="42" xfId="1" applyNumberFormat="1" applyFont="1" applyBorder="1" applyAlignment="1">
      <alignment horizontal="center"/>
    </xf>
    <xf numFmtId="2" fontId="14" fillId="0" borderId="43" xfId="1" applyNumberFormat="1" applyFont="1" applyBorder="1" applyAlignment="1">
      <alignment horizontal="center"/>
    </xf>
    <xf numFmtId="2" fontId="14" fillId="0" borderId="44" xfId="1" applyNumberFormat="1" applyFont="1" applyBorder="1" applyAlignment="1">
      <alignment horizontal="center"/>
    </xf>
    <xf numFmtId="165" fontId="14" fillId="0" borderId="45" xfId="1" applyNumberFormat="1" applyFont="1" applyBorder="1" applyAlignment="1">
      <alignment horizontal="center"/>
    </xf>
    <xf numFmtId="1" fontId="14" fillId="0" borderId="43" xfId="1" applyNumberFormat="1" applyFont="1" applyBorder="1" applyAlignment="1">
      <alignment horizontal="center"/>
    </xf>
    <xf numFmtId="1" fontId="14" fillId="0" borderId="46" xfId="1" applyNumberFormat="1" applyFont="1" applyBorder="1" applyAlignment="1">
      <alignment horizontal="center"/>
    </xf>
    <xf numFmtId="167" fontId="1" fillId="0" borderId="20" xfId="0" applyNumberFormat="1" applyFont="1" applyBorder="1" applyAlignment="1">
      <alignment horizontal="center"/>
    </xf>
    <xf numFmtId="3" fontId="0" fillId="0" borderId="0" xfId="0" applyNumberFormat="1"/>
    <xf numFmtId="165" fontId="17" fillId="0" borderId="0" xfId="0" applyNumberFormat="1" applyFont="1"/>
    <xf numFmtId="2" fontId="17" fillId="0" borderId="0" xfId="0" applyNumberFormat="1" applyFont="1"/>
    <xf numFmtId="0" fontId="0" fillId="0" borderId="0" xfId="0" applyBorder="1"/>
    <xf numFmtId="0" fontId="0" fillId="0" borderId="13" xfId="0" applyBorder="1"/>
    <xf numFmtId="0" fontId="0" fillId="0" borderId="15" xfId="0" applyBorder="1"/>
    <xf numFmtId="0" fontId="0" fillId="0" borderId="16" xfId="0" applyBorder="1"/>
    <xf numFmtId="0" fontId="0" fillId="0" borderId="17" xfId="0" applyBorder="1"/>
    <xf numFmtId="0" fontId="18" fillId="0" borderId="12" xfId="0" applyFont="1" applyBorder="1" applyAlignment="1">
      <alignment horizontal="center"/>
    </xf>
    <xf numFmtId="1" fontId="0" fillId="0" borderId="0" xfId="0" applyNumberFormat="1" applyBorder="1"/>
    <xf numFmtId="1" fontId="0" fillId="0" borderId="22" xfId="0" applyNumberFormat="1" applyBorder="1"/>
    <xf numFmtId="0" fontId="4" fillId="0" borderId="0" xfId="0" applyFont="1" applyBorder="1"/>
    <xf numFmtId="3" fontId="0" fillId="0" borderId="1" xfId="0" applyNumberFormat="1" applyBorder="1" applyAlignment="1" applyProtection="1">
      <alignment horizontal="center"/>
      <protection locked="0"/>
    </xf>
    <xf numFmtId="2" fontId="0" fillId="0" borderId="0" xfId="0" applyNumberFormat="1"/>
    <xf numFmtId="0" fontId="0" fillId="0" borderId="48" xfId="0" applyBorder="1"/>
    <xf numFmtId="1" fontId="0" fillId="0" borderId="48" xfId="0" applyNumberFormat="1" applyBorder="1" applyAlignment="1">
      <alignment horizontal="center"/>
    </xf>
    <xf numFmtId="1" fontId="0" fillId="3" borderId="11" xfId="0" applyNumberFormat="1" applyFill="1" applyBorder="1" applyAlignment="1">
      <alignment horizontal="center"/>
    </xf>
    <xf numFmtId="0" fontId="20" fillId="0" borderId="0" xfId="0" applyFont="1" applyAlignment="1">
      <alignment horizontal="right"/>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168" fontId="0" fillId="0" borderId="2" xfId="0" applyNumberFormat="1" applyBorder="1" applyAlignment="1" applyProtection="1">
      <alignment horizontal="center"/>
      <protection locked="0"/>
    </xf>
    <xf numFmtId="168" fontId="0" fillId="0" borderId="3" xfId="0" applyNumberFormat="1" applyBorder="1" applyAlignment="1" applyProtection="1">
      <alignment horizontal="center"/>
      <protection locked="0"/>
    </xf>
    <xf numFmtId="168" fontId="0" fillId="0" borderId="4" xfId="0" applyNumberFormat="1" applyBorder="1" applyAlignment="1" applyProtection="1">
      <alignment horizontal="center"/>
      <protection locked="0"/>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1" fillId="0" borderId="0"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10" fillId="0" borderId="19" xfId="0" applyFont="1" applyBorder="1" applyAlignment="1">
      <alignment horizontal="justify" vertical="center" wrapText="1"/>
    </xf>
    <xf numFmtId="0" fontId="10" fillId="0" borderId="20" xfId="0" applyFont="1" applyBorder="1" applyAlignment="1">
      <alignment horizontal="justify"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0" fillId="0" borderId="0" xfId="0" applyProtection="1"/>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5" fillId="0" borderId="0" xfId="0" applyFont="1" applyProtection="1"/>
    <xf numFmtId="0" fontId="1" fillId="0" borderId="0" xfId="0" applyFont="1" applyAlignment="1" applyProtection="1">
      <alignment horizontal="center"/>
    </xf>
    <xf numFmtId="0" fontId="16" fillId="0" borderId="47" xfId="0" applyFont="1" applyBorder="1" applyAlignment="1" applyProtection="1">
      <alignment horizontal="center"/>
    </xf>
    <xf numFmtId="0" fontId="0" fillId="3" borderId="0" xfId="0" applyFill="1" applyProtection="1"/>
    <xf numFmtId="0" fontId="0" fillId="0" borderId="0" xfId="0" applyAlignment="1" applyProtection="1">
      <alignment horizontal="center"/>
    </xf>
    <xf numFmtId="0" fontId="0" fillId="3" borderId="0" xfId="0" applyFill="1" applyAlignment="1" applyProtection="1">
      <alignment horizontal="center"/>
    </xf>
    <xf numFmtId="3" fontId="1" fillId="3" borderId="0" xfId="0" applyNumberFormat="1" applyFont="1" applyFill="1" applyAlignment="1" applyProtection="1">
      <alignment horizontal="center"/>
    </xf>
    <xf numFmtId="3" fontId="8" fillId="0" borderId="0" xfId="0" applyNumberFormat="1" applyFont="1" applyAlignment="1" applyProtection="1">
      <alignment horizontal="center"/>
    </xf>
    <xf numFmtId="0" fontId="2" fillId="0" borderId="0" xfId="0" applyFont="1" applyProtection="1"/>
    <xf numFmtId="164" fontId="0" fillId="0" borderId="0" xfId="0" applyNumberFormat="1" applyAlignment="1" applyProtection="1">
      <alignment horizontal="center"/>
    </xf>
    <xf numFmtId="0" fontId="5" fillId="0" borderId="0" xfId="0" applyFont="1" applyAlignment="1" applyProtection="1"/>
    <xf numFmtId="0" fontId="0" fillId="0" borderId="0" xfId="0" applyFont="1" applyAlignment="1" applyProtection="1">
      <alignment horizontal="center" wrapText="1"/>
    </xf>
    <xf numFmtId="164" fontId="0" fillId="0" borderId="1" xfId="0" applyNumberFormat="1" applyBorder="1" applyAlignment="1" applyProtection="1">
      <alignment horizontal="center"/>
    </xf>
    <xf numFmtId="0" fontId="0" fillId="0" borderId="0" xfId="0" applyFont="1" applyAlignment="1" applyProtection="1">
      <alignment horizontal="center" wrapText="1"/>
    </xf>
    <xf numFmtId="0" fontId="0" fillId="0" borderId="0" xfId="0" applyAlignment="1" applyProtection="1">
      <alignment horizontal="center" vertical="center" wrapText="1"/>
    </xf>
    <xf numFmtId="166" fontId="0" fillId="0" borderId="0" xfId="0" applyNumberFormat="1" applyBorder="1" applyAlignment="1" applyProtection="1">
      <alignment horizontal="center" vertical="center"/>
    </xf>
    <xf numFmtId="0" fontId="0" fillId="0" borderId="0" xfId="0" applyAlignment="1" applyProtection="1">
      <alignment horizontal="center" wrapText="1"/>
    </xf>
    <xf numFmtId="0" fontId="1" fillId="0" borderId="0" xfId="0" applyFont="1" applyAlignment="1" applyProtection="1">
      <alignment horizontal="center" vertical="center" wrapText="1"/>
    </xf>
    <xf numFmtId="166" fontId="0" fillId="0" borderId="1" xfId="0" applyNumberFormat="1" applyBorder="1" applyAlignment="1" applyProtection="1">
      <alignment horizontal="center" vertical="center"/>
    </xf>
    <xf numFmtId="0" fontId="0" fillId="0" borderId="0" xfId="0" applyAlignment="1" applyProtection="1">
      <alignment horizontal="left" vertical="center" wrapText="1"/>
    </xf>
    <xf numFmtId="0" fontId="1" fillId="0" borderId="0" xfId="0" applyFont="1" applyAlignment="1" applyProtection="1">
      <alignment vertical="center" wrapText="1"/>
    </xf>
    <xf numFmtId="0" fontId="1" fillId="0" borderId="0" xfId="0" applyFont="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Volume de rétention par  la méthode des pluies</a:t>
            </a:r>
          </a:p>
        </c:rich>
      </c:tx>
      <c:layout/>
      <c:overlay val="0"/>
    </c:title>
    <c:autoTitleDeleted val="0"/>
    <c:plotArea>
      <c:layout>
        <c:manualLayout>
          <c:layoutTarget val="inner"/>
          <c:xMode val="edge"/>
          <c:yMode val="edge"/>
          <c:x val="7.8342779616316097E-2"/>
          <c:y val="8.4203752308739194E-2"/>
          <c:w val="0.88498573547871739"/>
          <c:h val="0.84900204141149038"/>
        </c:manualLayout>
      </c:layout>
      <c:scatterChart>
        <c:scatterStyle val="smoothMarker"/>
        <c:varyColors val="0"/>
        <c:ser>
          <c:idx val="0"/>
          <c:order val="0"/>
          <c:tx>
            <c:v>Volume entrant en P30 ans (m3)</c:v>
          </c:tx>
          <c:marker>
            <c:symbol val="none"/>
          </c:marker>
          <c:xVal>
            <c:numRef>
              <c:f>Compensation!$C$43:$C$61</c:f>
              <c:numCache>
                <c:formatCode>0.0</c:formatCode>
                <c:ptCount val="19"/>
                <c:pt idx="0">
                  <c:v>6</c:v>
                </c:pt>
                <c:pt idx="1">
                  <c:v>10</c:v>
                </c:pt>
                <c:pt idx="2">
                  <c:v>15</c:v>
                </c:pt>
                <c:pt idx="3">
                  <c:v>20</c:v>
                </c:pt>
                <c:pt idx="4">
                  <c:v>25</c:v>
                </c:pt>
                <c:pt idx="5">
                  <c:v>30</c:v>
                </c:pt>
                <c:pt idx="6">
                  <c:v>35</c:v>
                </c:pt>
                <c:pt idx="7">
                  <c:v>40</c:v>
                </c:pt>
                <c:pt idx="8">
                  <c:v>45</c:v>
                </c:pt>
                <c:pt idx="9">
                  <c:v>50</c:v>
                </c:pt>
                <c:pt idx="10">
                  <c:v>55</c:v>
                </c:pt>
                <c:pt idx="11">
                  <c:v>60</c:v>
                </c:pt>
                <c:pt idx="12">
                  <c:v>90</c:v>
                </c:pt>
                <c:pt idx="13">
                  <c:v>120</c:v>
                </c:pt>
                <c:pt idx="14">
                  <c:v>180</c:v>
                </c:pt>
                <c:pt idx="15">
                  <c:v>240</c:v>
                </c:pt>
                <c:pt idx="16">
                  <c:v>360</c:v>
                </c:pt>
                <c:pt idx="17">
                  <c:v>720</c:v>
                </c:pt>
                <c:pt idx="18">
                  <c:v>1440</c:v>
                </c:pt>
              </c:numCache>
            </c:numRef>
          </c:xVal>
          <c:yVal>
            <c:numRef>
              <c:f>Compensation!$D$43:$D$61</c:f>
              <c:numCache>
                <c:formatCode>0.00</c:formatCode>
                <c:ptCount val="19"/>
                <c:pt idx="0">
                  <c:v>39.601391976563662</c:v>
                </c:pt>
                <c:pt idx="1">
                  <c:v>51.597433953971418</c:v>
                </c:pt>
                <c:pt idx="2">
                  <c:v>63.65659083237076</c:v>
                </c:pt>
                <c:pt idx="3">
                  <c:v>73.885912548277602</c:v>
                </c:pt>
                <c:pt idx="4">
                  <c:v>82.939426552279528</c:v>
                </c:pt>
                <c:pt idx="5">
                  <c:v>91.154248243386235</c:v>
                </c:pt>
                <c:pt idx="6">
                  <c:v>98.731412612684025</c:v>
                </c:pt>
                <c:pt idx="7">
                  <c:v>105.80231718425486</c:v>
                </c:pt>
                <c:pt idx="8">
                  <c:v>112.45847396670719</c:v>
                </c:pt>
                <c:pt idx="9">
                  <c:v>118.76666623601243</c:v>
                </c:pt>
                <c:pt idx="10">
                  <c:v>124.7774129348325</c:v>
                </c:pt>
                <c:pt idx="11">
                  <c:v>130.53003411221832</c:v>
                </c:pt>
                <c:pt idx="12">
                  <c:v>137.46501705610916</c:v>
                </c:pt>
                <c:pt idx="13">
                  <c:v>144.4</c:v>
                </c:pt>
                <c:pt idx="14">
                  <c:v>161.5</c:v>
                </c:pt>
                <c:pt idx="15">
                  <c:v>178.6</c:v>
                </c:pt>
                <c:pt idx="16">
                  <c:v>207.1</c:v>
                </c:pt>
                <c:pt idx="17">
                  <c:v>269.8</c:v>
                </c:pt>
                <c:pt idx="18">
                  <c:v>334.4</c:v>
                </c:pt>
              </c:numCache>
            </c:numRef>
          </c:yVal>
          <c:smooth val="1"/>
        </c:ser>
        <c:ser>
          <c:idx val="1"/>
          <c:order val="1"/>
          <c:tx>
            <c:v>Volume entrant en P100 ans (m3)</c:v>
          </c:tx>
          <c:marker>
            <c:symbol val="none"/>
          </c:marker>
          <c:xVal>
            <c:numRef>
              <c:f>Compensation!$C$43:$C$61</c:f>
              <c:numCache>
                <c:formatCode>0.0</c:formatCode>
                <c:ptCount val="19"/>
                <c:pt idx="0">
                  <c:v>6</c:v>
                </c:pt>
                <c:pt idx="1">
                  <c:v>10</c:v>
                </c:pt>
                <c:pt idx="2">
                  <c:v>15</c:v>
                </c:pt>
                <c:pt idx="3">
                  <c:v>20</c:v>
                </c:pt>
                <c:pt idx="4">
                  <c:v>25</c:v>
                </c:pt>
                <c:pt idx="5">
                  <c:v>30</c:v>
                </c:pt>
                <c:pt idx="6">
                  <c:v>35</c:v>
                </c:pt>
                <c:pt idx="7">
                  <c:v>40</c:v>
                </c:pt>
                <c:pt idx="8">
                  <c:v>45</c:v>
                </c:pt>
                <c:pt idx="9">
                  <c:v>50</c:v>
                </c:pt>
                <c:pt idx="10">
                  <c:v>55</c:v>
                </c:pt>
                <c:pt idx="11">
                  <c:v>60</c:v>
                </c:pt>
                <c:pt idx="12">
                  <c:v>90</c:v>
                </c:pt>
                <c:pt idx="13">
                  <c:v>120</c:v>
                </c:pt>
                <c:pt idx="14">
                  <c:v>180</c:v>
                </c:pt>
                <c:pt idx="15">
                  <c:v>240</c:v>
                </c:pt>
                <c:pt idx="16">
                  <c:v>360</c:v>
                </c:pt>
                <c:pt idx="17">
                  <c:v>720</c:v>
                </c:pt>
                <c:pt idx="18">
                  <c:v>1440</c:v>
                </c:pt>
              </c:numCache>
            </c:numRef>
          </c:xVal>
          <c:yVal>
            <c:numRef>
              <c:f>Compensation!$E$43:$E$61</c:f>
              <c:numCache>
                <c:formatCode>0.00</c:formatCode>
                <c:ptCount val="19"/>
                <c:pt idx="0">
                  <c:v>47.136193635985933</c:v>
                </c:pt>
                <c:pt idx="1">
                  <c:v>61.792298001857276</c:v>
                </c:pt>
                <c:pt idx="2">
                  <c:v>76.605987247546238</c:v>
                </c:pt>
                <c:pt idx="3">
                  <c:v>89.2237031433081</c:v>
                </c:pt>
                <c:pt idx="4">
                  <c:v>100.42516434999025</c:v>
                </c:pt>
                <c:pt idx="5">
                  <c:v>110.61362153855603</c:v>
                </c:pt>
                <c:pt idx="6">
                  <c:v>120.03016692110603</c:v>
                </c:pt>
                <c:pt idx="7">
                  <c:v>128.8327099012549</c:v>
                </c:pt>
                <c:pt idx="8">
                  <c:v>137.13142179520233</c:v>
                </c:pt>
                <c:pt idx="9">
                  <c:v>145.00682677009593</c:v>
                </c:pt>
                <c:pt idx="10">
                  <c:v>152.51992111550132</c:v>
                </c:pt>
                <c:pt idx="11">
                  <c:v>159.718237561997</c:v>
                </c:pt>
                <c:pt idx="12">
                  <c:v>171.05911878099852</c:v>
                </c:pt>
                <c:pt idx="13">
                  <c:v>182.4</c:v>
                </c:pt>
                <c:pt idx="14">
                  <c:v>209</c:v>
                </c:pt>
                <c:pt idx="15">
                  <c:v>231.8</c:v>
                </c:pt>
                <c:pt idx="16">
                  <c:v>267.89999999999998</c:v>
                </c:pt>
                <c:pt idx="17">
                  <c:v>340.1</c:v>
                </c:pt>
                <c:pt idx="18">
                  <c:v>425.6</c:v>
                </c:pt>
              </c:numCache>
            </c:numRef>
          </c:yVal>
          <c:smooth val="1"/>
        </c:ser>
        <c:ser>
          <c:idx val="2"/>
          <c:order val="2"/>
          <c:tx>
            <c:v>Volume sortant (m3)</c:v>
          </c:tx>
          <c:marker>
            <c:symbol val="none"/>
          </c:marker>
          <c:xVal>
            <c:numRef>
              <c:f>Compensation!$C$43:$C$61</c:f>
              <c:numCache>
                <c:formatCode>0.0</c:formatCode>
                <c:ptCount val="19"/>
                <c:pt idx="0">
                  <c:v>6</c:v>
                </c:pt>
                <c:pt idx="1">
                  <c:v>10</c:v>
                </c:pt>
                <c:pt idx="2">
                  <c:v>15</c:v>
                </c:pt>
                <c:pt idx="3">
                  <c:v>20</c:v>
                </c:pt>
                <c:pt idx="4">
                  <c:v>25</c:v>
                </c:pt>
                <c:pt idx="5">
                  <c:v>30</c:v>
                </c:pt>
                <c:pt idx="6">
                  <c:v>35</c:v>
                </c:pt>
                <c:pt idx="7">
                  <c:v>40</c:v>
                </c:pt>
                <c:pt idx="8">
                  <c:v>45</c:v>
                </c:pt>
                <c:pt idx="9">
                  <c:v>50</c:v>
                </c:pt>
                <c:pt idx="10">
                  <c:v>55</c:v>
                </c:pt>
                <c:pt idx="11">
                  <c:v>60</c:v>
                </c:pt>
                <c:pt idx="12">
                  <c:v>90</c:v>
                </c:pt>
                <c:pt idx="13">
                  <c:v>120</c:v>
                </c:pt>
                <c:pt idx="14">
                  <c:v>180</c:v>
                </c:pt>
                <c:pt idx="15">
                  <c:v>240</c:v>
                </c:pt>
                <c:pt idx="16">
                  <c:v>360</c:v>
                </c:pt>
                <c:pt idx="17">
                  <c:v>720</c:v>
                </c:pt>
                <c:pt idx="18">
                  <c:v>1440</c:v>
                </c:pt>
              </c:numCache>
            </c:numRef>
          </c:xVal>
          <c:yVal>
            <c:numRef>
              <c:f>Compensation!$F$43:$F$61</c:f>
              <c:numCache>
                <c:formatCode>0.00</c:formatCode>
                <c:ptCount val="19"/>
                <c:pt idx="0">
                  <c:v>0.72</c:v>
                </c:pt>
                <c:pt idx="1">
                  <c:v>1.2</c:v>
                </c:pt>
                <c:pt idx="2">
                  <c:v>1.8</c:v>
                </c:pt>
                <c:pt idx="3">
                  <c:v>2.4</c:v>
                </c:pt>
                <c:pt idx="4">
                  <c:v>3</c:v>
                </c:pt>
                <c:pt idx="5">
                  <c:v>3.6</c:v>
                </c:pt>
                <c:pt idx="6">
                  <c:v>4.2</c:v>
                </c:pt>
                <c:pt idx="7">
                  <c:v>4.8</c:v>
                </c:pt>
                <c:pt idx="8">
                  <c:v>5.4</c:v>
                </c:pt>
                <c:pt idx="9">
                  <c:v>6</c:v>
                </c:pt>
                <c:pt idx="10">
                  <c:v>6.6</c:v>
                </c:pt>
                <c:pt idx="11">
                  <c:v>7.2</c:v>
                </c:pt>
                <c:pt idx="12">
                  <c:v>10.8</c:v>
                </c:pt>
                <c:pt idx="13">
                  <c:v>14.4</c:v>
                </c:pt>
                <c:pt idx="14">
                  <c:v>21.6</c:v>
                </c:pt>
                <c:pt idx="15">
                  <c:v>28.8</c:v>
                </c:pt>
                <c:pt idx="16">
                  <c:v>43.2</c:v>
                </c:pt>
                <c:pt idx="17">
                  <c:v>86.4</c:v>
                </c:pt>
                <c:pt idx="18">
                  <c:v>172.8</c:v>
                </c:pt>
              </c:numCache>
            </c:numRef>
          </c:yVal>
          <c:smooth val="1"/>
        </c:ser>
        <c:dLbls>
          <c:showLegendKey val="0"/>
          <c:showVal val="0"/>
          <c:showCatName val="0"/>
          <c:showSerName val="0"/>
          <c:showPercent val="0"/>
          <c:showBubbleSize val="0"/>
        </c:dLbls>
        <c:axId val="238120320"/>
        <c:axId val="238120896"/>
      </c:scatterChart>
      <c:valAx>
        <c:axId val="238120320"/>
        <c:scaling>
          <c:orientation val="minMax"/>
        </c:scaling>
        <c:delete val="0"/>
        <c:axPos val="b"/>
        <c:numFmt formatCode="0.0" sourceLinked="1"/>
        <c:majorTickMark val="out"/>
        <c:minorTickMark val="none"/>
        <c:tickLblPos val="nextTo"/>
        <c:crossAx val="238120896"/>
        <c:crosses val="autoZero"/>
        <c:crossBetween val="midCat"/>
      </c:valAx>
      <c:valAx>
        <c:axId val="238120896"/>
        <c:scaling>
          <c:orientation val="minMax"/>
        </c:scaling>
        <c:delete val="0"/>
        <c:axPos val="l"/>
        <c:majorGridlines/>
        <c:numFmt formatCode="0.00" sourceLinked="1"/>
        <c:majorTickMark val="out"/>
        <c:minorTickMark val="none"/>
        <c:tickLblPos val="nextTo"/>
        <c:crossAx val="238120320"/>
        <c:crosses val="autoZero"/>
        <c:crossBetween val="midCat"/>
      </c:valAx>
    </c:plotArea>
    <c:legend>
      <c:legendPos val="r"/>
      <c:layout>
        <c:manualLayout>
          <c:xMode val="edge"/>
          <c:yMode val="edge"/>
          <c:x val="8.4000786133617361E-2"/>
          <c:y val="8.9816272965879282E-2"/>
          <c:w val="0.3122592805980553"/>
          <c:h val="0.13777457817772779"/>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342900</xdr:colOff>
      <xdr:row>12</xdr:row>
      <xdr:rowOff>200024</xdr:rowOff>
    </xdr:from>
    <xdr:to>
      <xdr:col>20</xdr:col>
      <xdr:colOff>514350</xdr:colOff>
      <xdr:row>38</xdr:row>
      <xdr:rowOff>200024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16"/>
  <sheetViews>
    <sheetView showGridLines="0" topLeftCell="B4" workbookViewId="0">
      <selection activeCell="A12" sqref="A12:XFD12"/>
    </sheetView>
  </sheetViews>
  <sheetFormatPr baseColWidth="10" defaultRowHeight="15" x14ac:dyDescent="0.25"/>
  <cols>
    <col min="1" max="16384" width="11.42578125" style="46"/>
  </cols>
  <sheetData>
    <row r="1" spans="1:3" ht="18.75" x14ac:dyDescent="0.3">
      <c r="A1" s="54" t="s">
        <v>176</v>
      </c>
    </row>
    <row r="3" spans="1:3" x14ac:dyDescent="0.25">
      <c r="A3" s="46" t="s">
        <v>13</v>
      </c>
    </row>
    <row r="4" spans="1:3" ht="6.75" customHeight="1" x14ac:dyDescent="0.25"/>
    <row r="5" spans="1:3" x14ac:dyDescent="0.25">
      <c r="B5" s="46" t="s">
        <v>177</v>
      </c>
    </row>
    <row r="6" spans="1:3" x14ac:dyDescent="0.25">
      <c r="C6" s="46" t="s">
        <v>180</v>
      </c>
    </row>
    <row r="7" spans="1:3" ht="7.5" customHeight="1" x14ac:dyDescent="0.25"/>
    <row r="9" spans="1:3" ht="5.25" customHeight="1" x14ac:dyDescent="0.25"/>
    <row r="10" spans="1:3" x14ac:dyDescent="0.25">
      <c r="A10" s="46" t="s">
        <v>14</v>
      </c>
    </row>
    <row r="11" spans="1:3" x14ac:dyDescent="0.25">
      <c r="B11" s="46" t="s">
        <v>15</v>
      </c>
    </row>
    <row r="12" spans="1:3" ht="6" customHeight="1" x14ac:dyDescent="0.25"/>
    <row r="13" spans="1:3" ht="14.25" customHeight="1" x14ac:dyDescent="0.25"/>
    <row r="14" spans="1:3" x14ac:dyDescent="0.25">
      <c r="A14" s="46" t="s">
        <v>90</v>
      </c>
    </row>
    <row r="15" spans="1:3" x14ac:dyDescent="0.25">
      <c r="C15" s="46" t="s">
        <v>178</v>
      </c>
    </row>
    <row r="16" spans="1:3" x14ac:dyDescent="0.25">
      <c r="C16" s="46" t="s">
        <v>179</v>
      </c>
    </row>
  </sheetData>
  <sheetProtection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22"/>
  <sheetViews>
    <sheetView zoomScaleNormal="100" workbookViewId="0">
      <selection activeCell="B3" sqref="B3:J3"/>
    </sheetView>
  </sheetViews>
  <sheetFormatPr baseColWidth="10" defaultRowHeight="15" x14ac:dyDescent="0.25"/>
  <cols>
    <col min="1" max="1" width="20.85546875" style="88" customWidth="1"/>
    <col min="2" max="2" width="19.85546875" style="88" customWidth="1"/>
    <col min="3" max="4" width="18.7109375" style="88" customWidth="1"/>
    <col min="5" max="5" width="20.28515625" style="88" customWidth="1"/>
    <col min="6" max="23" width="18.7109375" style="88" customWidth="1"/>
    <col min="24" max="16384" width="11.42578125" style="88"/>
  </cols>
  <sheetData>
    <row r="1" spans="1:11" ht="15.75" thickBot="1" x14ac:dyDescent="0.3">
      <c r="A1" s="88" t="s">
        <v>0</v>
      </c>
      <c r="B1" s="89" t="s">
        <v>67</v>
      </c>
      <c r="C1" s="90"/>
      <c r="D1" s="90"/>
      <c r="E1" s="90"/>
      <c r="F1" s="90"/>
      <c r="G1" s="90"/>
      <c r="H1" s="90"/>
      <c r="I1" s="90"/>
      <c r="J1" s="91"/>
    </row>
    <row r="2" spans="1:11" ht="15.75" thickBot="1" x14ac:dyDescent="0.3">
      <c r="A2" s="88" t="s">
        <v>1</v>
      </c>
      <c r="B2" s="61" t="s">
        <v>0</v>
      </c>
      <c r="C2" s="62"/>
      <c r="D2" s="62"/>
      <c r="E2" s="62"/>
      <c r="F2" s="62"/>
      <c r="G2" s="62"/>
      <c r="H2" s="62"/>
      <c r="I2" s="62"/>
      <c r="J2" s="63"/>
    </row>
    <row r="3" spans="1:11" ht="15.75" thickBot="1" x14ac:dyDescent="0.3">
      <c r="A3" s="88" t="s">
        <v>2</v>
      </c>
      <c r="B3" s="64"/>
      <c r="C3" s="65"/>
      <c r="D3" s="65"/>
      <c r="E3" s="65"/>
      <c r="F3" s="65"/>
      <c r="G3" s="65"/>
      <c r="H3" s="65"/>
      <c r="I3" s="65"/>
      <c r="J3" s="66"/>
    </row>
    <row r="4" spans="1:11" ht="15.75" thickBot="1" x14ac:dyDescent="0.3">
      <c r="A4" s="88" t="s">
        <v>18</v>
      </c>
      <c r="B4" s="64"/>
      <c r="C4" s="65"/>
      <c r="D4" s="65"/>
      <c r="E4" s="65"/>
      <c r="F4" s="65"/>
      <c r="G4" s="65"/>
      <c r="H4" s="65"/>
      <c r="I4" s="65"/>
      <c r="J4" s="66"/>
    </row>
    <row r="5" spans="1:11" ht="15.75" thickBot="1" x14ac:dyDescent="0.3">
      <c r="A5" s="88" t="s">
        <v>16</v>
      </c>
      <c r="B5" s="64"/>
      <c r="C5" s="65"/>
      <c r="D5" s="65"/>
      <c r="E5" s="65"/>
      <c r="F5" s="65"/>
      <c r="G5" s="65"/>
      <c r="H5" s="65"/>
      <c r="I5" s="65"/>
      <c r="J5" s="66"/>
    </row>
    <row r="6" spans="1:11" ht="15.75" thickBot="1" x14ac:dyDescent="0.3">
      <c r="A6" s="88" t="s">
        <v>17</v>
      </c>
      <c r="B6" s="64"/>
      <c r="C6" s="65"/>
      <c r="D6" s="65"/>
      <c r="E6" s="65"/>
      <c r="F6" s="65"/>
      <c r="G6" s="65"/>
      <c r="H6" s="65"/>
      <c r="I6" s="65"/>
      <c r="J6" s="66"/>
    </row>
    <row r="7" spans="1:11" ht="15.75" thickBot="1" x14ac:dyDescent="0.3">
      <c r="A7" s="88" t="s">
        <v>3</v>
      </c>
      <c r="B7" s="67"/>
      <c r="C7" s="68"/>
      <c r="D7" s="68"/>
      <c r="E7" s="68"/>
      <c r="F7" s="68"/>
      <c r="G7" s="68"/>
      <c r="H7" s="68"/>
      <c r="I7" s="68"/>
      <c r="J7" s="69"/>
    </row>
    <row r="9" spans="1:11" ht="16.5" thickBot="1" x14ac:dyDescent="0.3">
      <c r="A9" s="92" t="s">
        <v>61</v>
      </c>
    </row>
    <row r="10" spans="1:11" ht="15.75" thickBot="1" x14ac:dyDescent="0.3">
      <c r="A10" s="93" t="s">
        <v>92</v>
      </c>
      <c r="B10" s="93"/>
      <c r="C10" s="93"/>
      <c r="D10" s="94" t="s">
        <v>95</v>
      </c>
      <c r="I10" s="95"/>
    </row>
    <row r="11" spans="1:11" ht="15.75" thickBot="1" x14ac:dyDescent="0.3">
      <c r="A11" s="96" t="s">
        <v>4</v>
      </c>
      <c r="B11" s="96" t="s">
        <v>7</v>
      </c>
      <c r="C11" s="96" t="s">
        <v>85</v>
      </c>
      <c r="D11" s="96" t="s">
        <v>77</v>
      </c>
      <c r="E11" s="96" t="s">
        <v>8</v>
      </c>
      <c r="F11" s="96" t="s">
        <v>76</v>
      </c>
      <c r="G11" s="96" t="s">
        <v>75</v>
      </c>
      <c r="H11" s="96" t="s">
        <v>9</v>
      </c>
      <c r="I11" s="97" t="s">
        <v>10</v>
      </c>
      <c r="J11" s="96" t="s">
        <v>12</v>
      </c>
    </row>
    <row r="12" spans="1:11" ht="15.75" thickBot="1" x14ac:dyDescent="0.3">
      <c r="A12" s="96" t="s">
        <v>5</v>
      </c>
      <c r="B12" s="55">
        <v>300</v>
      </c>
      <c r="C12" s="55">
        <v>500</v>
      </c>
      <c r="D12" s="55">
        <v>800</v>
      </c>
      <c r="E12" s="55">
        <v>150</v>
      </c>
      <c r="F12" s="55">
        <v>400</v>
      </c>
      <c r="G12" s="55">
        <v>2000</v>
      </c>
      <c r="H12" s="55">
        <v>0</v>
      </c>
      <c r="I12" s="98">
        <f>SUM(B12:H12)</f>
        <v>4150</v>
      </c>
      <c r="J12" s="99">
        <f>(B12*0.95+C12*0.95+D12*0.6+E12*0.4+F12*0.25+G12*0.25)</f>
        <v>1900</v>
      </c>
      <c r="K12" s="100"/>
    </row>
    <row r="13" spans="1:11" x14ac:dyDescent="0.25">
      <c r="A13" s="96" t="s">
        <v>6</v>
      </c>
      <c r="B13" s="101">
        <f>B$12/$I$12</f>
        <v>7.2289156626506021E-2</v>
      </c>
      <c r="C13" s="101">
        <f t="shared" ref="C13:H13" si="0">C$12/$I$12</f>
        <v>0.12048192771084337</v>
      </c>
      <c r="D13" s="101">
        <f t="shared" si="0"/>
        <v>0.19277108433734941</v>
      </c>
      <c r="E13" s="101">
        <f t="shared" si="0"/>
        <v>3.614457831325301E-2</v>
      </c>
      <c r="F13" s="101">
        <f t="shared" si="0"/>
        <v>9.6385542168674704E-2</v>
      </c>
      <c r="G13" s="101">
        <f t="shared" si="0"/>
        <v>0.48192771084337349</v>
      </c>
      <c r="H13" s="101">
        <f t="shared" si="0"/>
        <v>0</v>
      </c>
      <c r="I13" s="95"/>
    </row>
    <row r="14" spans="1:11" x14ac:dyDescent="0.25">
      <c r="A14" s="96"/>
      <c r="B14" s="101"/>
      <c r="C14" s="101"/>
      <c r="D14" s="101"/>
      <c r="E14" s="101"/>
      <c r="F14" s="101"/>
      <c r="G14" s="101"/>
      <c r="H14" s="101"/>
      <c r="I14" s="95"/>
    </row>
    <row r="15" spans="1:11" ht="15.75" x14ac:dyDescent="0.25">
      <c r="A15" s="102" t="s">
        <v>87</v>
      </c>
      <c r="B15" s="102"/>
      <c r="C15" s="101"/>
      <c r="D15" s="101"/>
      <c r="E15" s="101"/>
      <c r="F15" s="101"/>
      <c r="G15" s="101"/>
      <c r="H15" s="101"/>
      <c r="I15" s="95"/>
    </row>
    <row r="16" spans="1:11" ht="15.75" thickBot="1" x14ac:dyDescent="0.3">
      <c r="A16" s="96" t="s">
        <v>4</v>
      </c>
      <c r="B16" s="96" t="s">
        <v>88</v>
      </c>
      <c r="C16" s="96" t="s">
        <v>85</v>
      </c>
      <c r="D16" s="96" t="s">
        <v>77</v>
      </c>
      <c r="E16" s="96" t="s">
        <v>8</v>
      </c>
      <c r="F16" s="96" t="s">
        <v>76</v>
      </c>
      <c r="G16" s="96" t="s">
        <v>31</v>
      </c>
      <c r="H16" s="96" t="s">
        <v>89</v>
      </c>
      <c r="I16" s="97" t="s">
        <v>10</v>
      </c>
      <c r="J16" s="96" t="s">
        <v>12</v>
      </c>
    </row>
    <row r="17" spans="1:10" ht="15.75" thickBot="1" x14ac:dyDescent="0.3">
      <c r="A17" s="96" t="s">
        <v>5</v>
      </c>
      <c r="B17" s="55">
        <v>0</v>
      </c>
      <c r="C17" s="55">
        <v>0</v>
      </c>
      <c r="D17" s="55">
        <v>0</v>
      </c>
      <c r="E17" s="55">
        <v>0</v>
      </c>
      <c r="F17" s="55">
        <v>0</v>
      </c>
      <c r="G17" s="55">
        <v>0</v>
      </c>
      <c r="H17" s="55">
        <v>2360</v>
      </c>
      <c r="I17" s="98">
        <f>SUM(B17:H17)</f>
        <v>2360</v>
      </c>
      <c r="J17" s="99">
        <f>(B17*0.25+C17*0.95+D17*0.6+E17*0.4+F17*0.25+G17*0.2+H17*0.15)</f>
        <v>354</v>
      </c>
    </row>
    <row r="18" spans="1:10" ht="12" customHeight="1" thickBot="1" x14ac:dyDescent="0.3">
      <c r="A18" s="96" t="s">
        <v>6</v>
      </c>
      <c r="B18" s="101">
        <f>B$12/$I$12</f>
        <v>7.2289156626506021E-2</v>
      </c>
      <c r="C18" s="101">
        <f t="shared" ref="C18:H18" si="1">C$12/$I$12</f>
        <v>0.12048192771084337</v>
      </c>
      <c r="D18" s="101">
        <f t="shared" si="1"/>
        <v>0.19277108433734941</v>
      </c>
      <c r="E18" s="101">
        <f t="shared" si="1"/>
        <v>3.614457831325301E-2</v>
      </c>
      <c r="F18" s="101">
        <f t="shared" si="1"/>
        <v>9.6385542168674704E-2</v>
      </c>
      <c r="G18" s="101">
        <f t="shared" si="1"/>
        <v>0.48192771084337349</v>
      </c>
      <c r="H18" s="101">
        <f t="shared" si="1"/>
        <v>0</v>
      </c>
      <c r="I18" s="95"/>
    </row>
    <row r="19" spans="1:10" ht="15" customHeight="1" thickBot="1" x14ac:dyDescent="0.3">
      <c r="A19" s="103" t="s">
        <v>11</v>
      </c>
      <c r="B19" s="103"/>
      <c r="C19" s="104">
        <v>0.47</v>
      </c>
      <c r="I19" s="95"/>
    </row>
    <row r="20" spans="1:10" ht="9" customHeight="1" x14ac:dyDescent="0.25">
      <c r="A20" s="105"/>
      <c r="B20" s="105"/>
      <c r="I20" s="95"/>
    </row>
    <row r="21" spans="1:10" ht="41.25" customHeight="1" thickBot="1" x14ac:dyDescent="0.3">
      <c r="A21" s="106"/>
      <c r="B21" s="106"/>
      <c r="C21" s="107"/>
      <c r="I21" s="108" t="s">
        <v>184</v>
      </c>
    </row>
    <row r="22" spans="1:10" ht="72" customHeight="1" thickBot="1" x14ac:dyDescent="0.3">
      <c r="A22" s="109" t="s">
        <v>181</v>
      </c>
      <c r="B22" s="109"/>
      <c r="C22" s="110">
        <v>1000</v>
      </c>
      <c r="D22" s="111" t="s">
        <v>185</v>
      </c>
      <c r="E22" s="112" t="s">
        <v>182</v>
      </c>
      <c r="F22" s="113">
        <f>$C$22*$J$12/10000</f>
        <v>190</v>
      </c>
      <c r="G22" s="111"/>
    </row>
  </sheetData>
  <sheetProtection sheet="1" objects="1" scenarios="1" selectLockedCells="1"/>
  <mergeCells count="10">
    <mergeCell ref="B6:J6"/>
    <mergeCell ref="B7:J7"/>
    <mergeCell ref="A19:B19"/>
    <mergeCell ref="A10:C10"/>
    <mergeCell ref="A22:B22"/>
    <mergeCell ref="B1:J1"/>
    <mergeCell ref="B2:J2"/>
    <mergeCell ref="B4:J4"/>
    <mergeCell ref="B5:J5"/>
    <mergeCell ref="B3:J3"/>
  </mergeCells>
  <dataValidations count="1">
    <dataValidation type="list" allowBlank="1" showInputMessage="1" showErrorMessage="1" sqref="B1:J1">
      <formula1>Communes</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'Listes déroulantes'!$G$19:$G$22</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tabSelected="1" workbookViewId="0">
      <selection activeCell="H9" sqref="H9"/>
    </sheetView>
  </sheetViews>
  <sheetFormatPr baseColWidth="10" defaultRowHeight="15" x14ac:dyDescent="0.25"/>
  <cols>
    <col min="6" max="6" width="6.28515625" customWidth="1"/>
    <col min="16" max="16" width="14.140625" customWidth="1"/>
  </cols>
  <sheetData>
    <row r="1" spans="1:18" ht="19.5" thickBot="1" x14ac:dyDescent="0.35">
      <c r="A1" s="70" t="s">
        <v>91</v>
      </c>
      <c r="B1" s="71"/>
      <c r="C1" s="71"/>
      <c r="D1" s="71"/>
      <c r="E1" s="72"/>
      <c r="F1" t="s">
        <v>97</v>
      </c>
      <c r="P1" s="60" t="s">
        <v>189</v>
      </c>
      <c r="Q1" s="5">
        <v>6</v>
      </c>
      <c r="R1" s="4" t="s">
        <v>188</v>
      </c>
    </row>
    <row r="2" spans="1:18" ht="6" customHeight="1" x14ac:dyDescent="0.25"/>
    <row r="3" spans="1:18" ht="16.5" thickBot="1" x14ac:dyDescent="0.3">
      <c r="A3" s="6" t="s">
        <v>98</v>
      </c>
    </row>
    <row r="4" spans="1:18" ht="15.75" x14ac:dyDescent="0.25">
      <c r="B4" t="s">
        <v>100</v>
      </c>
      <c r="E4" t="str">
        <f>'Site et projet'!D10</f>
        <v>Région 2</v>
      </c>
      <c r="I4" s="51" t="s">
        <v>171</v>
      </c>
      <c r="J4" s="47"/>
      <c r="K4" s="47"/>
      <c r="L4" s="74" t="s">
        <v>173</v>
      </c>
      <c r="M4" s="75"/>
    </row>
    <row r="5" spans="1:18" ht="17.25" x14ac:dyDescent="0.25">
      <c r="B5" t="s">
        <v>99</v>
      </c>
      <c r="E5" s="43">
        <f>'Site et projet'!I12</f>
        <v>4150</v>
      </c>
      <c r="F5" t="s">
        <v>168</v>
      </c>
      <c r="I5" s="48"/>
      <c r="J5" s="73" t="s">
        <v>172</v>
      </c>
      <c r="K5" s="73"/>
      <c r="L5" s="52">
        <f>K39</f>
        <v>279.07000000000005</v>
      </c>
      <c r="M5" s="49" t="s">
        <v>170</v>
      </c>
      <c r="P5" s="57" t="s">
        <v>186</v>
      </c>
      <c r="Q5" s="58">
        <f>MAX(2,40/10000*E5)</f>
        <v>16.600000000000001</v>
      </c>
    </row>
    <row r="6" spans="1:18" ht="18" thickBot="1" x14ac:dyDescent="0.3">
      <c r="B6" t="s">
        <v>101</v>
      </c>
      <c r="E6" s="43">
        <f>'Site et projet'!J17</f>
        <v>354</v>
      </c>
      <c r="F6" s="4" t="s">
        <v>168</v>
      </c>
      <c r="I6" s="48"/>
      <c r="J6" s="73" t="s">
        <v>183</v>
      </c>
      <c r="K6" s="73"/>
      <c r="L6" s="52">
        <f>'Site et projet'!F22</f>
        <v>190</v>
      </c>
      <c r="M6" s="49" t="s">
        <v>170</v>
      </c>
      <c r="P6" s="57" t="s">
        <v>187</v>
      </c>
      <c r="Q6" s="58">
        <f>MAX(2,$Q$1/10000*E7)</f>
        <v>2</v>
      </c>
    </row>
    <row r="7" spans="1:18" ht="18" thickBot="1" x14ac:dyDescent="0.3">
      <c r="B7" t="s">
        <v>102</v>
      </c>
      <c r="E7" s="43">
        <f>'Site et projet'!J12</f>
        <v>1900</v>
      </c>
      <c r="F7" s="4" t="s">
        <v>168</v>
      </c>
      <c r="I7" s="50"/>
      <c r="J7" s="76" t="s">
        <v>174</v>
      </c>
      <c r="K7" s="77"/>
      <c r="L7" s="53">
        <f>MAX(L5:L6)</f>
        <v>279.07000000000005</v>
      </c>
      <c r="M7" s="7" t="s">
        <v>170</v>
      </c>
      <c r="Q7" s="56"/>
    </row>
    <row r="8" spans="1:18" ht="6" customHeight="1" thickBot="1" x14ac:dyDescent="0.3"/>
    <row r="9" spans="1:18" ht="16.5" thickBot="1" x14ac:dyDescent="0.3">
      <c r="A9" s="6" t="s">
        <v>103</v>
      </c>
      <c r="E9" s="59">
        <f>IF(E5&lt;500,2,IF(MIN(Q5:Q6)&lt;2,2,MIN(Q5:Q6)))</f>
        <v>2</v>
      </c>
      <c r="F9" t="s">
        <v>169</v>
      </c>
    </row>
    <row r="10" spans="1:18" ht="9.75" customHeight="1" x14ac:dyDescent="0.25"/>
    <row r="11" spans="1:18" ht="15" customHeight="1" x14ac:dyDescent="0.25">
      <c r="A11" s="6" t="s">
        <v>175</v>
      </c>
    </row>
    <row r="12" spans="1:18" s="4" customFormat="1" ht="6" customHeight="1" x14ac:dyDescent="0.25">
      <c r="A12" s="6"/>
    </row>
    <row r="13" spans="1:18" ht="15.75" thickBot="1" x14ac:dyDescent="0.3">
      <c r="A13" s="2" t="s">
        <v>159</v>
      </c>
      <c r="G13" s="2" t="s">
        <v>160</v>
      </c>
      <c r="H13" s="4"/>
      <c r="I13" s="4"/>
      <c r="J13" s="4"/>
      <c r="K13" s="4"/>
    </row>
    <row r="14" spans="1:18" x14ac:dyDescent="0.25">
      <c r="A14" s="24" t="s">
        <v>141</v>
      </c>
      <c r="B14" s="25" t="s">
        <v>162</v>
      </c>
      <c r="C14" s="25" t="s">
        <v>142</v>
      </c>
      <c r="D14" s="25" t="s">
        <v>143</v>
      </c>
      <c r="E14" s="26" t="s">
        <v>143</v>
      </c>
      <c r="G14" s="24" t="s">
        <v>141</v>
      </c>
      <c r="H14" s="25" t="s">
        <v>162</v>
      </c>
      <c r="I14" s="25" t="s">
        <v>142</v>
      </c>
      <c r="J14" s="25" t="s">
        <v>143</v>
      </c>
      <c r="K14" s="26" t="s">
        <v>143</v>
      </c>
    </row>
    <row r="15" spans="1:18" x14ac:dyDescent="0.25">
      <c r="A15" s="27" t="s">
        <v>144</v>
      </c>
      <c r="B15" s="28" t="s">
        <v>161</v>
      </c>
      <c r="C15" s="28" t="s">
        <v>145</v>
      </c>
      <c r="D15" s="28" t="s">
        <v>146</v>
      </c>
      <c r="E15" s="29" t="s">
        <v>147</v>
      </c>
      <c r="G15" s="27" t="s">
        <v>144</v>
      </c>
      <c r="H15" s="28" t="s">
        <v>161</v>
      </c>
      <c r="I15" s="28" t="s">
        <v>145</v>
      </c>
      <c r="J15" s="28" t="s">
        <v>146</v>
      </c>
      <c r="K15" s="29" t="s">
        <v>147</v>
      </c>
    </row>
    <row r="16" spans="1:18" x14ac:dyDescent="0.25">
      <c r="A16" s="27" t="s">
        <v>148</v>
      </c>
      <c r="B16" s="28" t="s">
        <v>163</v>
      </c>
      <c r="C16" s="28" t="s">
        <v>149</v>
      </c>
      <c r="D16" s="28" t="s">
        <v>149</v>
      </c>
      <c r="E16" s="29" t="s">
        <v>149</v>
      </c>
      <c r="G16" s="27" t="s">
        <v>148</v>
      </c>
      <c r="H16" s="28" t="s">
        <v>163</v>
      </c>
      <c r="I16" s="28" t="s">
        <v>149</v>
      </c>
      <c r="J16" s="28" t="s">
        <v>149</v>
      </c>
      <c r="K16" s="29" t="s">
        <v>149</v>
      </c>
    </row>
    <row r="17" spans="1:11" x14ac:dyDescent="0.25">
      <c r="A17" s="30" t="s">
        <v>150</v>
      </c>
      <c r="B17" s="31" t="s">
        <v>164</v>
      </c>
      <c r="C17" s="31" t="s">
        <v>165</v>
      </c>
      <c r="D17" s="31" t="s">
        <v>166</v>
      </c>
      <c r="E17" s="32" t="s">
        <v>151</v>
      </c>
      <c r="G17" s="30" t="s">
        <v>150</v>
      </c>
      <c r="H17" s="31" t="s">
        <v>164</v>
      </c>
      <c r="I17" s="31" t="s">
        <v>165</v>
      </c>
      <c r="J17" s="31" t="s">
        <v>166</v>
      </c>
      <c r="K17" s="32" t="s">
        <v>151</v>
      </c>
    </row>
    <row r="18" spans="1:11" ht="15.75" thickBot="1" x14ac:dyDescent="0.3">
      <c r="A18" s="33" t="s">
        <v>152</v>
      </c>
      <c r="B18" s="34" t="s">
        <v>153</v>
      </c>
      <c r="C18" s="34" t="s">
        <v>154</v>
      </c>
      <c r="D18" s="34" t="s">
        <v>155</v>
      </c>
      <c r="E18" s="35" t="s">
        <v>156</v>
      </c>
      <c r="G18" s="33" t="s">
        <v>152</v>
      </c>
      <c r="H18" s="34" t="s">
        <v>153</v>
      </c>
      <c r="I18" s="34" t="s">
        <v>154</v>
      </c>
      <c r="J18" s="34" t="s">
        <v>155</v>
      </c>
      <c r="K18" s="35" t="s">
        <v>156</v>
      </c>
    </row>
    <row r="19" spans="1:11" ht="15.75" thickTop="1" x14ac:dyDescent="0.25">
      <c r="A19" s="36">
        <v>6</v>
      </c>
      <c r="B19" s="40">
        <f>Pluies!$F$7*A19^(1-Pluies!$F$8)</f>
        <v>20.842837882401927</v>
      </c>
      <c r="C19" s="37">
        <f>B19*$E$7/1000</f>
        <v>39.601391976563662</v>
      </c>
      <c r="D19" s="37">
        <f>$E$9*A19*60/1000</f>
        <v>0.72</v>
      </c>
      <c r="E19" s="38">
        <f>C19-D19</f>
        <v>38.881391976563663</v>
      </c>
      <c r="G19" s="36">
        <v>6</v>
      </c>
      <c r="H19" s="40">
        <f>Pluies!$H$7*G19^(1-Pluies!$H$8)</f>
        <v>24.808522966308384</v>
      </c>
      <c r="I19" s="37">
        <f>H19*$E$7/1000</f>
        <v>47.136193635985933</v>
      </c>
      <c r="J19" s="37">
        <f>$E$9*G19*60/1000</f>
        <v>0.72</v>
      </c>
      <c r="K19" s="38">
        <f t="shared" ref="K19:K37" si="0">I19-J19</f>
        <v>46.416193635985934</v>
      </c>
    </row>
    <row r="20" spans="1:11" x14ac:dyDescent="0.25">
      <c r="A20" s="39">
        <v>10</v>
      </c>
      <c r="B20" s="40">
        <f>Pluies!$F$7*A20^(1-Pluies!$F$8)</f>
        <v>27.156544186300749</v>
      </c>
      <c r="C20" s="37">
        <f t="shared" ref="C20:C37" si="1">B20*$E$7/1000</f>
        <v>51.597433953971418</v>
      </c>
      <c r="D20" s="37">
        <f t="shared" ref="D20:D37" si="2">$E$9*A20*60/1000</f>
        <v>1.2</v>
      </c>
      <c r="E20" s="38">
        <f t="shared" ref="E20:E37" si="3">C20-D20</f>
        <v>50.397433953971415</v>
      </c>
      <c r="G20" s="39">
        <v>10</v>
      </c>
      <c r="H20" s="40">
        <f>Pluies!$H$7*G20^(1-Pluies!$H$8)</f>
        <v>32.522262106240674</v>
      </c>
      <c r="I20" s="37">
        <f t="shared" ref="I20:I37" si="4">H20*$E$7/1000</f>
        <v>61.792298001857276</v>
      </c>
      <c r="J20" s="37">
        <f t="shared" ref="J20:J37" si="5">$E$9*G20*60/1000</f>
        <v>1.2</v>
      </c>
      <c r="K20" s="38">
        <f t="shared" si="0"/>
        <v>60.592298001857273</v>
      </c>
    </row>
    <row r="21" spans="1:11" x14ac:dyDescent="0.25">
      <c r="A21" s="39">
        <v>15</v>
      </c>
      <c r="B21" s="40">
        <f>Pluies!$F$7*A21^(1-Pluies!$F$8)</f>
        <v>33.503468859142508</v>
      </c>
      <c r="C21" s="37">
        <f t="shared" si="1"/>
        <v>63.65659083237076</v>
      </c>
      <c r="D21" s="37">
        <f t="shared" si="2"/>
        <v>1.8</v>
      </c>
      <c r="E21" s="38">
        <f t="shared" si="3"/>
        <v>61.856590832370763</v>
      </c>
      <c r="G21" s="39">
        <v>15</v>
      </c>
      <c r="H21" s="40">
        <f>Pluies!$H$7*G21^(1-Pluies!$H$8)</f>
        <v>40.318940656603282</v>
      </c>
      <c r="I21" s="37">
        <f t="shared" si="4"/>
        <v>76.605987247546238</v>
      </c>
      <c r="J21" s="37">
        <f t="shared" si="5"/>
        <v>1.8</v>
      </c>
      <c r="K21" s="38">
        <f t="shared" si="0"/>
        <v>74.805987247546241</v>
      </c>
    </row>
    <row r="22" spans="1:11" x14ac:dyDescent="0.25">
      <c r="A22" s="39">
        <v>20</v>
      </c>
      <c r="B22" s="40">
        <f>Pluies!$F$7*A22^(1-Pluies!$F$8)</f>
        <v>38.887322393830317</v>
      </c>
      <c r="C22" s="37">
        <f t="shared" si="1"/>
        <v>73.885912548277602</v>
      </c>
      <c r="D22" s="37">
        <f t="shared" si="2"/>
        <v>2.4</v>
      </c>
      <c r="E22" s="38">
        <f t="shared" si="3"/>
        <v>71.485912548277597</v>
      </c>
      <c r="G22" s="39">
        <v>20</v>
      </c>
      <c r="H22" s="40">
        <f>Pluies!$H$7*G22^(1-Pluies!$H$8)</f>
        <v>46.959843759635845</v>
      </c>
      <c r="I22" s="37">
        <f t="shared" si="4"/>
        <v>89.2237031433081</v>
      </c>
      <c r="J22" s="37">
        <f t="shared" si="5"/>
        <v>2.4</v>
      </c>
      <c r="K22" s="38">
        <f t="shared" si="0"/>
        <v>86.823703143308094</v>
      </c>
    </row>
    <row r="23" spans="1:11" x14ac:dyDescent="0.25">
      <c r="A23" s="39">
        <v>25</v>
      </c>
      <c r="B23" s="40">
        <f>Pluies!$F$7*A23^(1-Pluies!$F$8)</f>
        <v>43.652329764357646</v>
      </c>
      <c r="C23" s="37">
        <f t="shared" si="1"/>
        <v>82.939426552279528</v>
      </c>
      <c r="D23" s="37">
        <f t="shared" si="2"/>
        <v>3</v>
      </c>
      <c r="E23" s="38">
        <f t="shared" si="3"/>
        <v>79.939426552279528</v>
      </c>
      <c r="G23" s="39">
        <v>25</v>
      </c>
      <c r="H23" s="40">
        <f>Pluies!$H$7*G23^(1-Pluies!$H$8)</f>
        <v>52.855349657889612</v>
      </c>
      <c r="I23" s="37">
        <f t="shared" si="4"/>
        <v>100.42516434999025</v>
      </c>
      <c r="J23" s="37">
        <f t="shared" si="5"/>
        <v>3</v>
      </c>
      <c r="K23" s="38">
        <f t="shared" si="0"/>
        <v>97.425164349990254</v>
      </c>
    </row>
    <row r="24" spans="1:11" x14ac:dyDescent="0.25">
      <c r="A24" s="39">
        <v>30</v>
      </c>
      <c r="B24" s="40">
        <f>Pluies!$F$7*A24^(1-Pluies!$F$8)</f>
        <v>47.975920128098018</v>
      </c>
      <c r="C24" s="37">
        <f t="shared" si="1"/>
        <v>91.154248243386235</v>
      </c>
      <c r="D24" s="37">
        <f t="shared" si="2"/>
        <v>3.6</v>
      </c>
      <c r="E24" s="38">
        <f t="shared" si="3"/>
        <v>87.55424824338624</v>
      </c>
      <c r="G24" s="39">
        <v>30</v>
      </c>
      <c r="H24" s="40">
        <f>Pluies!$H$7*G24^(1-Pluies!$H$8)</f>
        <v>58.217695546608439</v>
      </c>
      <c r="I24" s="37">
        <f t="shared" si="4"/>
        <v>110.61362153855603</v>
      </c>
      <c r="J24" s="37">
        <f t="shared" si="5"/>
        <v>3.6</v>
      </c>
      <c r="K24" s="38">
        <f t="shared" si="0"/>
        <v>107.01362153855604</v>
      </c>
    </row>
    <row r="25" spans="1:11" x14ac:dyDescent="0.25">
      <c r="A25" s="39">
        <v>35</v>
      </c>
      <c r="B25" s="40">
        <f>Pluies!$F$7*A25^(1-Pluies!$F$8)</f>
        <v>51.963901375096853</v>
      </c>
      <c r="C25" s="37">
        <f t="shared" si="1"/>
        <v>98.731412612684025</v>
      </c>
      <c r="D25" s="37">
        <f t="shared" si="2"/>
        <v>4.2</v>
      </c>
      <c r="E25" s="38">
        <f t="shared" si="3"/>
        <v>94.531412612684022</v>
      </c>
      <c r="G25" s="39">
        <v>35</v>
      </c>
      <c r="H25" s="40">
        <f>Pluies!$H$7*G25^(1-Pluies!$H$8)</f>
        <v>63.173772063740017</v>
      </c>
      <c r="I25" s="37">
        <f t="shared" si="4"/>
        <v>120.03016692110603</v>
      </c>
      <c r="J25" s="37">
        <f t="shared" si="5"/>
        <v>4.2</v>
      </c>
      <c r="K25" s="38">
        <f t="shared" si="0"/>
        <v>115.83016692110603</v>
      </c>
    </row>
    <row r="26" spans="1:11" x14ac:dyDescent="0.25">
      <c r="A26" s="39">
        <v>40</v>
      </c>
      <c r="B26" s="40">
        <f>Pluies!$F$7*A26^(1-Pluies!$F$8)</f>
        <v>55.685430096976241</v>
      </c>
      <c r="C26" s="37">
        <f t="shared" si="1"/>
        <v>105.80231718425486</v>
      </c>
      <c r="D26" s="37">
        <f t="shared" si="2"/>
        <v>4.8</v>
      </c>
      <c r="E26" s="38">
        <f t="shared" si="3"/>
        <v>101.00231718425486</v>
      </c>
      <c r="G26" s="39">
        <v>40</v>
      </c>
      <c r="H26" s="40">
        <f>Pluies!$H$7*G26^(1-Pluies!$H$8)</f>
        <v>67.806689421713102</v>
      </c>
      <c r="I26" s="37">
        <f t="shared" si="4"/>
        <v>128.8327099012549</v>
      </c>
      <c r="J26" s="37">
        <f t="shared" si="5"/>
        <v>4.8</v>
      </c>
      <c r="K26" s="38">
        <f t="shared" si="0"/>
        <v>124.0327099012549</v>
      </c>
    </row>
    <row r="27" spans="1:11" x14ac:dyDescent="0.25">
      <c r="A27" s="39">
        <v>45</v>
      </c>
      <c r="B27" s="40">
        <f>Pluies!$F$7*A27^(1-Pluies!$F$8)</f>
        <v>59.188670508793258</v>
      </c>
      <c r="C27" s="37">
        <f t="shared" si="1"/>
        <v>112.45847396670719</v>
      </c>
      <c r="D27" s="37">
        <f t="shared" si="2"/>
        <v>5.4</v>
      </c>
      <c r="E27" s="38">
        <f t="shared" si="3"/>
        <v>107.05847396670718</v>
      </c>
      <c r="G27" s="39">
        <v>45</v>
      </c>
      <c r="H27" s="40">
        <f>Pluies!$H$7*G27^(1-Pluies!$H$8)</f>
        <v>72.174432523790699</v>
      </c>
      <c r="I27" s="37">
        <f t="shared" si="4"/>
        <v>137.13142179520233</v>
      </c>
      <c r="J27" s="37">
        <f t="shared" si="5"/>
        <v>5.4</v>
      </c>
      <c r="K27" s="38">
        <f t="shared" si="0"/>
        <v>131.73142179520232</v>
      </c>
    </row>
    <row r="28" spans="1:11" x14ac:dyDescent="0.25">
      <c r="A28" s="39">
        <v>50</v>
      </c>
      <c r="B28" s="40">
        <f>Pluies!$F$7*A28^(1-Pluies!$F$8)</f>
        <v>62.508771703164435</v>
      </c>
      <c r="C28" s="37">
        <f t="shared" si="1"/>
        <v>118.76666623601243</v>
      </c>
      <c r="D28" s="37">
        <f t="shared" si="2"/>
        <v>6</v>
      </c>
      <c r="E28" s="38">
        <f t="shared" si="3"/>
        <v>112.76666623601243</v>
      </c>
      <c r="G28" s="39">
        <v>50</v>
      </c>
      <c r="H28" s="40">
        <f>Pluies!$H$7*G28^(1-Pluies!$H$8)</f>
        <v>76.319382510576816</v>
      </c>
      <c r="I28" s="37">
        <f t="shared" si="4"/>
        <v>145.00682677009593</v>
      </c>
      <c r="J28" s="37">
        <f t="shared" si="5"/>
        <v>6</v>
      </c>
      <c r="K28" s="38">
        <f t="shared" si="0"/>
        <v>139.00682677009593</v>
      </c>
    </row>
    <row r="29" spans="1:11" x14ac:dyDescent="0.25">
      <c r="A29" s="39">
        <v>55</v>
      </c>
      <c r="B29" s="40">
        <f>Pluies!$F$7*A29^(1-Pluies!$F$8)</f>
        <v>65.672322597280257</v>
      </c>
      <c r="C29" s="37">
        <f t="shared" si="1"/>
        <v>124.7774129348325</v>
      </c>
      <c r="D29" s="37">
        <f t="shared" si="2"/>
        <v>6.6</v>
      </c>
      <c r="E29" s="38">
        <f t="shared" si="3"/>
        <v>118.1774129348325</v>
      </c>
      <c r="G29" s="39">
        <v>55</v>
      </c>
      <c r="H29" s="40">
        <f>Pluies!$H$7*G29^(1-Pluies!$H$8)</f>
        <v>80.273642692369108</v>
      </c>
      <c r="I29" s="37">
        <f t="shared" si="4"/>
        <v>152.51992111550132</v>
      </c>
      <c r="J29" s="37">
        <f t="shared" si="5"/>
        <v>6.6</v>
      </c>
      <c r="K29" s="38">
        <f t="shared" si="0"/>
        <v>145.91992111550132</v>
      </c>
    </row>
    <row r="30" spans="1:11" x14ac:dyDescent="0.25">
      <c r="A30" s="39">
        <v>60</v>
      </c>
      <c r="B30" s="40">
        <f>Pluies!$F$7*A30^(1-Pluies!$F$8)</f>
        <v>68.700017953799119</v>
      </c>
      <c r="C30" s="37">
        <f t="shared" si="1"/>
        <v>130.53003411221832</v>
      </c>
      <c r="D30" s="37">
        <f t="shared" si="2"/>
        <v>7.2</v>
      </c>
      <c r="E30" s="38">
        <f t="shared" si="3"/>
        <v>123.33003411221831</v>
      </c>
      <c r="G30" s="39">
        <v>60</v>
      </c>
      <c r="H30" s="40">
        <f>Pluies!$H$7*G30^(1-Pluies!$H$8)</f>
        <v>84.062230295787899</v>
      </c>
      <c r="I30" s="37">
        <f t="shared" si="4"/>
        <v>159.718237561997</v>
      </c>
      <c r="J30" s="37">
        <f t="shared" si="5"/>
        <v>7.2</v>
      </c>
      <c r="K30" s="38">
        <f t="shared" si="0"/>
        <v>152.51823756199701</v>
      </c>
    </row>
    <row r="31" spans="1:11" x14ac:dyDescent="0.25">
      <c r="A31" s="39">
        <v>90</v>
      </c>
      <c r="B31" s="41">
        <f>(B32+B30)/2</f>
        <v>72.350008976899559</v>
      </c>
      <c r="C31" s="37">
        <f t="shared" si="1"/>
        <v>137.46501705610916</v>
      </c>
      <c r="D31" s="37">
        <f t="shared" si="2"/>
        <v>10.8</v>
      </c>
      <c r="E31" s="38">
        <f t="shared" si="3"/>
        <v>126.66501705610916</v>
      </c>
      <c r="G31" s="39">
        <v>90</v>
      </c>
      <c r="H31" s="41">
        <f>(H32+H30)/2</f>
        <v>90.031115147893956</v>
      </c>
      <c r="I31" s="37">
        <f t="shared" si="4"/>
        <v>171.05911878099852</v>
      </c>
      <c r="J31" s="37">
        <f t="shared" si="5"/>
        <v>10.8</v>
      </c>
      <c r="K31" s="38">
        <f t="shared" si="0"/>
        <v>160.25911878099851</v>
      </c>
    </row>
    <row r="32" spans="1:11" x14ac:dyDescent="0.25">
      <c r="A32" s="39">
        <v>120</v>
      </c>
      <c r="B32" s="41">
        <f>IF($E$4="Région 1",Pluies!F16,IF($E$4="Région 2",Pluies!F27,Pluies!F38))</f>
        <v>76</v>
      </c>
      <c r="C32" s="37">
        <f t="shared" si="1"/>
        <v>144.4</v>
      </c>
      <c r="D32" s="37">
        <f t="shared" si="2"/>
        <v>14.4</v>
      </c>
      <c r="E32" s="38">
        <f t="shared" si="3"/>
        <v>130</v>
      </c>
      <c r="G32" s="39">
        <v>120</v>
      </c>
      <c r="H32" s="41">
        <f>IF($E$4="Région 1",Pluies!H16,IF($E$4="Région 2",Pluies!H27,Pluies!H38))</f>
        <v>96</v>
      </c>
      <c r="I32" s="37">
        <f t="shared" si="4"/>
        <v>182.4</v>
      </c>
      <c r="J32" s="37">
        <f t="shared" si="5"/>
        <v>14.4</v>
      </c>
      <c r="K32" s="38">
        <f t="shared" si="0"/>
        <v>168</v>
      </c>
    </row>
    <row r="33" spans="1:11" x14ac:dyDescent="0.25">
      <c r="A33" s="39">
        <v>180</v>
      </c>
      <c r="B33" s="41">
        <f>IF($E$4="Région 1",Pluies!F17,IF($E$4="Région 2",Pluies!F28,Pluies!F39))</f>
        <v>85</v>
      </c>
      <c r="C33" s="37">
        <f t="shared" si="1"/>
        <v>161.5</v>
      </c>
      <c r="D33" s="37">
        <f t="shared" si="2"/>
        <v>21.6</v>
      </c>
      <c r="E33" s="38">
        <f t="shared" si="3"/>
        <v>139.9</v>
      </c>
      <c r="G33" s="39">
        <v>180</v>
      </c>
      <c r="H33" s="41">
        <f>IF($E$4="Région 1",Pluies!H17,IF($E$4="Région 2",Pluies!H28,Pluies!H39))</f>
        <v>110</v>
      </c>
      <c r="I33" s="37">
        <f t="shared" si="4"/>
        <v>209</v>
      </c>
      <c r="J33" s="37">
        <f t="shared" si="5"/>
        <v>21.6</v>
      </c>
      <c r="K33" s="38">
        <f t="shared" si="0"/>
        <v>187.4</v>
      </c>
    </row>
    <row r="34" spans="1:11" x14ac:dyDescent="0.25">
      <c r="A34" s="39">
        <v>240</v>
      </c>
      <c r="B34" s="41">
        <f>IF($E$4="Région 1",Pluies!F18,IF($E$4="Région 2",Pluies!F29,Pluies!F40))</f>
        <v>94</v>
      </c>
      <c r="C34" s="37">
        <f t="shared" si="1"/>
        <v>178.6</v>
      </c>
      <c r="D34" s="37">
        <f t="shared" si="2"/>
        <v>28.8</v>
      </c>
      <c r="E34" s="38">
        <f t="shared" si="3"/>
        <v>149.79999999999998</v>
      </c>
      <c r="G34" s="39">
        <v>240</v>
      </c>
      <c r="H34" s="41">
        <f>IF($E$4="Région 1",Pluies!H18,IF($E$4="Région 2",Pluies!H29,Pluies!H40))</f>
        <v>122</v>
      </c>
      <c r="I34" s="37">
        <f t="shared" si="4"/>
        <v>231.8</v>
      </c>
      <c r="J34" s="37">
        <f t="shared" si="5"/>
        <v>28.8</v>
      </c>
      <c r="K34" s="38">
        <f t="shared" si="0"/>
        <v>203</v>
      </c>
    </row>
    <row r="35" spans="1:11" x14ac:dyDescent="0.25">
      <c r="A35" s="39">
        <v>360</v>
      </c>
      <c r="B35" s="41">
        <f>IF($E$4="Région 1",Pluies!F19,IF($E$4="Région 2",Pluies!F30,Pluies!F41))</f>
        <v>109</v>
      </c>
      <c r="C35" s="37">
        <f t="shared" si="1"/>
        <v>207.1</v>
      </c>
      <c r="D35" s="37">
        <f t="shared" si="2"/>
        <v>43.2</v>
      </c>
      <c r="E35" s="38">
        <f t="shared" si="3"/>
        <v>163.89999999999998</v>
      </c>
      <c r="G35" s="39">
        <v>360</v>
      </c>
      <c r="H35" s="41">
        <f>IF($E$4="Région 1",Pluies!H19,IF($E$4="Région 2",Pluies!H30,Pluies!H41))</f>
        <v>141</v>
      </c>
      <c r="I35" s="37">
        <f t="shared" si="4"/>
        <v>267.89999999999998</v>
      </c>
      <c r="J35" s="37">
        <f t="shared" si="5"/>
        <v>43.2</v>
      </c>
      <c r="K35" s="38">
        <f t="shared" si="0"/>
        <v>224.7</v>
      </c>
    </row>
    <row r="36" spans="1:11" x14ac:dyDescent="0.25">
      <c r="A36" s="39">
        <v>720</v>
      </c>
      <c r="B36" s="41">
        <f>IF($E$4="Région 1",Pluies!F20,IF($E$4="Région 2",Pluies!F31,Pluies!F42))</f>
        <v>142</v>
      </c>
      <c r="C36" s="37">
        <f t="shared" si="1"/>
        <v>269.8</v>
      </c>
      <c r="D36" s="37">
        <f t="shared" si="2"/>
        <v>86.4</v>
      </c>
      <c r="E36" s="38">
        <f t="shared" si="3"/>
        <v>183.4</v>
      </c>
      <c r="G36" s="39">
        <v>720</v>
      </c>
      <c r="H36" s="41">
        <f>IF($E$4="Région 1",Pluies!H20,IF($E$4="Région 2",Pluies!H31,Pluies!H42))</f>
        <v>179</v>
      </c>
      <c r="I36" s="37">
        <f t="shared" si="4"/>
        <v>340.1</v>
      </c>
      <c r="J36" s="37">
        <f t="shared" si="5"/>
        <v>86.4</v>
      </c>
      <c r="K36" s="38">
        <f t="shared" si="0"/>
        <v>253.70000000000002</v>
      </c>
    </row>
    <row r="37" spans="1:11" ht="15.75" thickBot="1" x14ac:dyDescent="0.3">
      <c r="A37" s="39">
        <v>1440</v>
      </c>
      <c r="B37" s="41">
        <f>IF($E$4="Région 1",Pluies!F21,IF($E$4="Région 2",Pluies!F32,Pluies!F43))</f>
        <v>176</v>
      </c>
      <c r="C37" s="37">
        <f t="shared" si="1"/>
        <v>334.4</v>
      </c>
      <c r="D37" s="37">
        <f t="shared" si="2"/>
        <v>172.8</v>
      </c>
      <c r="E37" s="38">
        <f t="shared" si="3"/>
        <v>161.59999999999997</v>
      </c>
      <c r="G37" s="39">
        <v>1440</v>
      </c>
      <c r="H37" s="41">
        <f>IF($E$4="Région 1",Pluies!H21,IF($E$4="Région 2",Pluies!H32,Pluies!H43))</f>
        <v>224</v>
      </c>
      <c r="I37" s="37">
        <f t="shared" si="4"/>
        <v>425.6</v>
      </c>
      <c r="J37" s="37">
        <f t="shared" si="5"/>
        <v>172.8</v>
      </c>
      <c r="K37" s="38">
        <f t="shared" si="0"/>
        <v>252.8</v>
      </c>
    </row>
    <row r="38" spans="1:11" ht="15.75" thickTop="1" x14ac:dyDescent="0.25">
      <c r="A38" s="18" t="s">
        <v>157</v>
      </c>
      <c r="B38" s="19"/>
      <c r="C38" s="19"/>
      <c r="D38" s="19"/>
      <c r="E38" s="20">
        <f>MAX(E19:E37)</f>
        <v>183.4</v>
      </c>
      <c r="G38" s="18" t="s">
        <v>157</v>
      </c>
      <c r="H38" s="19"/>
      <c r="I38" s="19"/>
      <c r="J38" s="19"/>
      <c r="K38" s="20">
        <f>MAX(K19:K37)</f>
        <v>253.70000000000002</v>
      </c>
    </row>
    <row r="39" spans="1:11" ht="15.75" thickBot="1" x14ac:dyDescent="0.3">
      <c r="A39" s="21" t="s">
        <v>158</v>
      </c>
      <c r="B39" s="22"/>
      <c r="C39" s="22"/>
      <c r="D39" s="22"/>
      <c r="E39" s="23">
        <f>E38*1.1</f>
        <v>201.74</v>
      </c>
      <c r="G39" s="21" t="s">
        <v>158</v>
      </c>
      <c r="H39" s="22"/>
      <c r="I39" s="22"/>
      <c r="J39" s="22"/>
      <c r="K39" s="23">
        <f>K38*1.1</f>
        <v>279.07000000000005</v>
      </c>
    </row>
    <row r="41" spans="1:11" x14ac:dyDescent="0.25">
      <c r="A41" t="s">
        <v>167</v>
      </c>
    </row>
    <row r="43" spans="1:11" ht="2.25" customHeight="1" x14ac:dyDescent="0.25">
      <c r="C43" s="44">
        <f>G19</f>
        <v>6</v>
      </c>
      <c r="D43" s="45">
        <f>C19</f>
        <v>39.601391976563662</v>
      </c>
      <c r="E43" s="45">
        <f>I19</f>
        <v>47.136193635985933</v>
      </c>
      <c r="F43" s="45">
        <f>J19</f>
        <v>0.72</v>
      </c>
    </row>
    <row r="44" spans="1:11" ht="2.25" customHeight="1" x14ac:dyDescent="0.25">
      <c r="C44" s="44">
        <f t="shared" ref="C44:C60" si="6">G20</f>
        <v>10</v>
      </c>
      <c r="D44" s="45">
        <f t="shared" ref="D44:D60" si="7">C20</f>
        <v>51.597433953971418</v>
      </c>
      <c r="E44" s="45">
        <f t="shared" ref="E44:F44" si="8">I20</f>
        <v>61.792298001857276</v>
      </c>
      <c r="F44" s="45">
        <f t="shared" si="8"/>
        <v>1.2</v>
      </c>
    </row>
    <row r="45" spans="1:11" ht="2.25" customHeight="1" x14ac:dyDescent="0.25">
      <c r="C45" s="44">
        <f t="shared" si="6"/>
        <v>15</v>
      </c>
      <c r="D45" s="45">
        <f t="shared" si="7"/>
        <v>63.65659083237076</v>
      </c>
      <c r="E45" s="45">
        <f t="shared" ref="E45:F45" si="9">I21</f>
        <v>76.605987247546238</v>
      </c>
      <c r="F45" s="45">
        <f t="shared" si="9"/>
        <v>1.8</v>
      </c>
    </row>
    <row r="46" spans="1:11" ht="2.25" customHeight="1" x14ac:dyDescent="0.25">
      <c r="C46" s="44">
        <f t="shared" si="6"/>
        <v>20</v>
      </c>
      <c r="D46" s="45">
        <f t="shared" si="7"/>
        <v>73.885912548277602</v>
      </c>
      <c r="E46" s="45">
        <f t="shared" ref="E46:F46" si="10">I22</f>
        <v>89.2237031433081</v>
      </c>
      <c r="F46" s="45">
        <f t="shared" si="10"/>
        <v>2.4</v>
      </c>
    </row>
    <row r="47" spans="1:11" ht="2.25" customHeight="1" x14ac:dyDescent="0.25">
      <c r="C47" s="44">
        <f t="shared" si="6"/>
        <v>25</v>
      </c>
      <c r="D47" s="45">
        <f t="shared" si="7"/>
        <v>82.939426552279528</v>
      </c>
      <c r="E47" s="45">
        <f t="shared" ref="E47:F47" si="11">I23</f>
        <v>100.42516434999025</v>
      </c>
      <c r="F47" s="45">
        <f t="shared" si="11"/>
        <v>3</v>
      </c>
    </row>
    <row r="48" spans="1:11" ht="2.25" customHeight="1" x14ac:dyDescent="0.25">
      <c r="C48" s="44">
        <f t="shared" si="6"/>
        <v>30</v>
      </c>
      <c r="D48" s="45">
        <f t="shared" si="7"/>
        <v>91.154248243386235</v>
      </c>
      <c r="E48" s="45">
        <f t="shared" ref="E48:F48" si="12">I24</f>
        <v>110.61362153855603</v>
      </c>
      <c r="F48" s="45">
        <f t="shared" si="12"/>
        <v>3.6</v>
      </c>
    </row>
    <row r="49" spans="3:6" ht="2.25" customHeight="1" x14ac:dyDescent="0.25">
      <c r="C49" s="44">
        <f t="shared" si="6"/>
        <v>35</v>
      </c>
      <c r="D49" s="45">
        <f t="shared" si="7"/>
        <v>98.731412612684025</v>
      </c>
      <c r="E49" s="45">
        <f t="shared" ref="E49:F49" si="13">I25</f>
        <v>120.03016692110603</v>
      </c>
      <c r="F49" s="45">
        <f t="shared" si="13"/>
        <v>4.2</v>
      </c>
    </row>
    <row r="50" spans="3:6" ht="2.25" customHeight="1" x14ac:dyDescent="0.25">
      <c r="C50" s="44">
        <f t="shared" si="6"/>
        <v>40</v>
      </c>
      <c r="D50" s="45">
        <f t="shared" si="7"/>
        <v>105.80231718425486</v>
      </c>
      <c r="E50" s="45">
        <f t="shared" ref="E50:F50" si="14">I26</f>
        <v>128.8327099012549</v>
      </c>
      <c r="F50" s="45">
        <f t="shared" si="14"/>
        <v>4.8</v>
      </c>
    </row>
    <row r="51" spans="3:6" ht="2.25" customHeight="1" x14ac:dyDescent="0.25">
      <c r="C51" s="44">
        <f t="shared" si="6"/>
        <v>45</v>
      </c>
      <c r="D51" s="45">
        <f t="shared" si="7"/>
        <v>112.45847396670719</v>
      </c>
      <c r="E51" s="45">
        <f t="shared" ref="E51:F51" si="15">I27</f>
        <v>137.13142179520233</v>
      </c>
      <c r="F51" s="45">
        <f t="shared" si="15"/>
        <v>5.4</v>
      </c>
    </row>
    <row r="52" spans="3:6" ht="2.25" customHeight="1" x14ac:dyDescent="0.25">
      <c r="C52" s="44">
        <f t="shared" si="6"/>
        <v>50</v>
      </c>
      <c r="D52" s="45">
        <f t="shared" si="7"/>
        <v>118.76666623601243</v>
      </c>
      <c r="E52" s="45">
        <f t="shared" ref="E52:F52" si="16">I28</f>
        <v>145.00682677009593</v>
      </c>
      <c r="F52" s="45">
        <f t="shared" si="16"/>
        <v>6</v>
      </c>
    </row>
    <row r="53" spans="3:6" ht="2.25" customHeight="1" x14ac:dyDescent="0.25">
      <c r="C53" s="44">
        <f t="shared" si="6"/>
        <v>55</v>
      </c>
      <c r="D53" s="45">
        <f t="shared" si="7"/>
        <v>124.7774129348325</v>
      </c>
      <c r="E53" s="45">
        <f t="shared" ref="E53:F53" si="17">I29</f>
        <v>152.51992111550132</v>
      </c>
      <c r="F53" s="45">
        <f t="shared" si="17"/>
        <v>6.6</v>
      </c>
    </row>
    <row r="54" spans="3:6" ht="2.25" customHeight="1" x14ac:dyDescent="0.25">
      <c r="C54" s="44">
        <f t="shared" si="6"/>
        <v>60</v>
      </c>
      <c r="D54" s="45">
        <f t="shared" si="7"/>
        <v>130.53003411221832</v>
      </c>
      <c r="E54" s="45">
        <f t="shared" ref="E54:F54" si="18">I30</f>
        <v>159.718237561997</v>
      </c>
      <c r="F54" s="45">
        <f t="shared" si="18"/>
        <v>7.2</v>
      </c>
    </row>
    <row r="55" spans="3:6" ht="2.25" customHeight="1" x14ac:dyDescent="0.25">
      <c r="C55" s="44">
        <f t="shared" si="6"/>
        <v>90</v>
      </c>
      <c r="D55" s="45">
        <f t="shared" si="7"/>
        <v>137.46501705610916</v>
      </c>
      <c r="E55" s="45">
        <f t="shared" ref="E55:F55" si="19">I31</f>
        <v>171.05911878099852</v>
      </c>
      <c r="F55" s="45">
        <f t="shared" si="19"/>
        <v>10.8</v>
      </c>
    </row>
    <row r="56" spans="3:6" ht="2.25" customHeight="1" x14ac:dyDescent="0.25">
      <c r="C56" s="44">
        <f t="shared" si="6"/>
        <v>120</v>
      </c>
      <c r="D56" s="45">
        <f t="shared" si="7"/>
        <v>144.4</v>
      </c>
      <c r="E56" s="45">
        <f t="shared" ref="E56:F56" si="20">I32</f>
        <v>182.4</v>
      </c>
      <c r="F56" s="45">
        <f t="shared" si="20"/>
        <v>14.4</v>
      </c>
    </row>
    <row r="57" spans="3:6" ht="2.25" customHeight="1" x14ac:dyDescent="0.25">
      <c r="C57" s="44">
        <f t="shared" si="6"/>
        <v>180</v>
      </c>
      <c r="D57" s="45">
        <f t="shared" si="7"/>
        <v>161.5</v>
      </c>
      <c r="E57" s="45">
        <f t="shared" ref="E57:F57" si="21">I33</f>
        <v>209</v>
      </c>
      <c r="F57" s="45">
        <f t="shared" si="21"/>
        <v>21.6</v>
      </c>
    </row>
    <row r="58" spans="3:6" ht="2.25" customHeight="1" x14ac:dyDescent="0.25">
      <c r="C58" s="44">
        <f t="shared" si="6"/>
        <v>240</v>
      </c>
      <c r="D58" s="45">
        <f t="shared" si="7"/>
        <v>178.6</v>
      </c>
      <c r="E58" s="45">
        <f t="shared" ref="E58:F58" si="22">I34</f>
        <v>231.8</v>
      </c>
      <c r="F58" s="45">
        <f t="shared" si="22"/>
        <v>28.8</v>
      </c>
    </row>
    <row r="59" spans="3:6" ht="2.25" customHeight="1" x14ac:dyDescent="0.25">
      <c r="C59" s="44">
        <f t="shared" si="6"/>
        <v>360</v>
      </c>
      <c r="D59" s="45">
        <f t="shared" si="7"/>
        <v>207.1</v>
      </c>
      <c r="E59" s="45">
        <f t="shared" ref="E59:F59" si="23">I35</f>
        <v>267.89999999999998</v>
      </c>
      <c r="F59" s="45">
        <f t="shared" si="23"/>
        <v>43.2</v>
      </c>
    </row>
    <row r="60" spans="3:6" ht="2.25" customHeight="1" x14ac:dyDescent="0.25">
      <c r="C60" s="44">
        <f t="shared" si="6"/>
        <v>720</v>
      </c>
      <c r="D60" s="45">
        <f t="shared" si="7"/>
        <v>269.8</v>
      </c>
      <c r="E60" s="45">
        <f t="shared" ref="E60:F60" si="24">I36</f>
        <v>340.1</v>
      </c>
      <c r="F60" s="45">
        <f t="shared" si="24"/>
        <v>86.4</v>
      </c>
    </row>
    <row r="61" spans="3:6" ht="2.25" customHeight="1" x14ac:dyDescent="0.25">
      <c r="C61" s="44">
        <f>G37</f>
        <v>1440</v>
      </c>
      <c r="D61" s="45">
        <f>C37</f>
        <v>334.4</v>
      </c>
      <c r="E61" s="45">
        <f>I37</f>
        <v>425.6</v>
      </c>
      <c r="F61" s="45">
        <f>J37</f>
        <v>172.8</v>
      </c>
    </row>
  </sheetData>
  <sheetProtection sheet="1" objects="1" scenarios="1" selectLockedCells="1"/>
  <mergeCells count="5">
    <mergeCell ref="A1:E1"/>
    <mergeCell ref="J5:K5"/>
    <mergeCell ref="J6:K6"/>
    <mergeCell ref="L4:M4"/>
    <mergeCell ref="J7:K7"/>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4" workbookViewId="0">
      <selection activeCell="J10" sqref="J10"/>
    </sheetView>
  </sheetViews>
  <sheetFormatPr baseColWidth="10" defaultRowHeight="15" x14ac:dyDescent="0.25"/>
  <cols>
    <col min="6" max="6" width="11.42578125" style="4"/>
    <col min="13" max="13" width="11.42578125" style="4"/>
  </cols>
  <sheetData>
    <row r="1" spans="1:8" ht="15.75" x14ac:dyDescent="0.25">
      <c r="A1" s="6" t="s">
        <v>104</v>
      </c>
    </row>
    <row r="3" spans="1:8" ht="15.75" x14ac:dyDescent="0.25">
      <c r="A3" s="6" t="s">
        <v>105</v>
      </c>
    </row>
    <row r="4" spans="1:8" ht="15.75" thickBot="1" x14ac:dyDescent="0.3">
      <c r="A4" t="s">
        <v>126</v>
      </c>
    </row>
    <row r="5" spans="1:8" s="4" customFormat="1" ht="15.75" thickBot="1" x14ac:dyDescent="0.3">
      <c r="A5" s="83" t="s">
        <v>122</v>
      </c>
      <c r="B5" s="85" t="s">
        <v>108</v>
      </c>
      <c r="C5" s="86"/>
      <c r="D5" s="86"/>
      <c r="E5" s="86"/>
      <c r="F5" s="86"/>
      <c r="G5" s="86"/>
      <c r="H5" s="87"/>
    </row>
    <row r="6" spans="1:8" s="4" customFormat="1" ht="15.75" thickBot="1" x14ac:dyDescent="0.3">
      <c r="A6" s="84"/>
      <c r="B6" s="12" t="s">
        <v>109</v>
      </c>
      <c r="C6" s="12" t="s">
        <v>110</v>
      </c>
      <c r="D6" s="12" t="s">
        <v>111</v>
      </c>
      <c r="E6" s="12" t="s">
        <v>112</v>
      </c>
      <c r="F6" s="12" t="s">
        <v>123</v>
      </c>
      <c r="G6" s="12" t="s">
        <v>113</v>
      </c>
      <c r="H6" s="12" t="s">
        <v>114</v>
      </c>
    </row>
    <row r="7" spans="1:8" s="4" customFormat="1" ht="15.75" thickBot="1" x14ac:dyDescent="0.3">
      <c r="A7" s="13" t="s">
        <v>124</v>
      </c>
      <c r="B7" s="8">
        <v>4.266</v>
      </c>
      <c r="C7" s="12">
        <v>6.1989999999999998</v>
      </c>
      <c r="D7" s="12">
        <v>6.8259999999999996</v>
      </c>
      <c r="E7" s="12">
        <v>7.992</v>
      </c>
      <c r="F7" s="12">
        <v>8.2390000000000008</v>
      </c>
      <c r="G7" s="12">
        <v>9.0280000000000005</v>
      </c>
      <c r="H7" s="12">
        <v>9.5980000000000008</v>
      </c>
    </row>
    <row r="8" spans="1:8" s="4" customFormat="1" ht="15.75" thickBot="1" x14ac:dyDescent="0.3">
      <c r="A8" s="13" t="s">
        <v>125</v>
      </c>
      <c r="B8" s="42">
        <v>0.50919999999999999</v>
      </c>
      <c r="C8" s="12">
        <v>0.51100000000000001</v>
      </c>
      <c r="D8" s="12">
        <v>0.49099999999999999</v>
      </c>
      <c r="E8" s="12">
        <v>0.495</v>
      </c>
      <c r="F8" s="12">
        <v>0.48199999999999998</v>
      </c>
      <c r="G8" s="12">
        <v>0.48399999999999999</v>
      </c>
      <c r="H8" s="12">
        <v>0.47</v>
      </c>
    </row>
    <row r="9" spans="1:8" s="4" customFormat="1" ht="17.25" x14ac:dyDescent="0.25">
      <c r="A9" s="4" t="s">
        <v>127</v>
      </c>
    </row>
    <row r="11" spans="1:8" ht="16.5" thickBot="1" x14ac:dyDescent="0.3">
      <c r="A11" s="6" t="s">
        <v>106</v>
      </c>
    </row>
    <row r="12" spans="1:8" s="4" customFormat="1" ht="15.75" thickBot="1" x14ac:dyDescent="0.3">
      <c r="A12" s="9" t="s">
        <v>94</v>
      </c>
    </row>
    <row r="13" spans="1:8" ht="15.75" thickBot="1" x14ac:dyDescent="0.3">
      <c r="A13" s="78" t="s">
        <v>107</v>
      </c>
      <c r="B13" s="80" t="s">
        <v>108</v>
      </c>
      <c r="C13" s="81"/>
      <c r="D13" s="81"/>
      <c r="E13" s="81"/>
      <c r="F13" s="81"/>
      <c r="G13" s="81"/>
      <c r="H13" s="82"/>
    </row>
    <row r="14" spans="1:8" ht="15.75" thickBot="1" x14ac:dyDescent="0.3">
      <c r="A14" s="79"/>
      <c r="B14" s="10" t="s">
        <v>109</v>
      </c>
      <c r="C14" s="10" t="s">
        <v>110</v>
      </c>
      <c r="D14" s="10" t="s">
        <v>111</v>
      </c>
      <c r="E14" s="10" t="s">
        <v>112</v>
      </c>
      <c r="F14" s="10" t="s">
        <v>123</v>
      </c>
      <c r="G14" s="10" t="s">
        <v>113</v>
      </c>
      <c r="H14" s="10" t="s">
        <v>114</v>
      </c>
    </row>
    <row r="15" spans="1:8" ht="15.75" thickBot="1" x14ac:dyDescent="0.3">
      <c r="A15" s="11" t="s">
        <v>115</v>
      </c>
      <c r="B15" s="10">
        <v>30</v>
      </c>
      <c r="C15" s="10">
        <v>40</v>
      </c>
      <c r="D15" s="10">
        <v>48</v>
      </c>
      <c r="E15" s="10">
        <v>56</v>
      </c>
      <c r="F15" s="10">
        <v>61</v>
      </c>
      <c r="G15" s="10">
        <v>67</v>
      </c>
      <c r="H15" s="10">
        <v>77</v>
      </c>
    </row>
    <row r="16" spans="1:8" ht="15.75" thickBot="1" x14ac:dyDescent="0.3">
      <c r="A16" s="11" t="s">
        <v>116</v>
      </c>
      <c r="B16" s="10">
        <v>36</v>
      </c>
      <c r="C16" s="10">
        <v>47</v>
      </c>
      <c r="D16" s="10">
        <v>54</v>
      </c>
      <c r="E16" s="10">
        <v>63</v>
      </c>
      <c r="F16" s="10">
        <v>68</v>
      </c>
      <c r="G16" s="10">
        <v>74</v>
      </c>
      <c r="H16" s="10">
        <v>86</v>
      </c>
    </row>
    <row r="17" spans="1:8" ht="15.75" thickBot="1" x14ac:dyDescent="0.3">
      <c r="A17" s="11" t="s">
        <v>117</v>
      </c>
      <c r="B17" s="10">
        <v>42</v>
      </c>
      <c r="C17" s="10">
        <v>54</v>
      </c>
      <c r="D17" s="10">
        <v>62</v>
      </c>
      <c r="E17" s="10">
        <v>71</v>
      </c>
      <c r="F17" s="10">
        <v>77</v>
      </c>
      <c r="G17" s="10">
        <v>83</v>
      </c>
      <c r="H17" s="10">
        <v>99</v>
      </c>
    </row>
    <row r="18" spans="1:8" ht="15.75" thickBot="1" x14ac:dyDescent="0.3">
      <c r="A18" s="11" t="s">
        <v>118</v>
      </c>
      <c r="B18" s="10">
        <v>47</v>
      </c>
      <c r="C18" s="10">
        <v>59</v>
      </c>
      <c r="D18" s="10">
        <v>68</v>
      </c>
      <c r="E18" s="10">
        <v>78</v>
      </c>
      <c r="F18" s="10">
        <v>85</v>
      </c>
      <c r="G18" s="10">
        <v>92</v>
      </c>
      <c r="H18" s="10">
        <v>110</v>
      </c>
    </row>
    <row r="19" spans="1:8" ht="15.75" thickBot="1" x14ac:dyDescent="0.3">
      <c r="A19" s="11" t="s">
        <v>119</v>
      </c>
      <c r="B19" s="10">
        <v>54</v>
      </c>
      <c r="C19" s="10">
        <v>68</v>
      </c>
      <c r="D19" s="10">
        <v>79</v>
      </c>
      <c r="E19" s="10">
        <v>90</v>
      </c>
      <c r="F19" s="10">
        <v>98</v>
      </c>
      <c r="G19" s="10">
        <v>106</v>
      </c>
      <c r="H19" s="10">
        <v>127</v>
      </c>
    </row>
    <row r="20" spans="1:8" ht="15.75" thickBot="1" x14ac:dyDescent="0.3">
      <c r="A20" s="11" t="s">
        <v>120</v>
      </c>
      <c r="B20" s="10">
        <v>68</v>
      </c>
      <c r="C20" s="10">
        <v>86</v>
      </c>
      <c r="D20" s="10">
        <v>101</v>
      </c>
      <c r="E20" s="10">
        <v>114</v>
      </c>
      <c r="F20" s="10">
        <v>125</v>
      </c>
      <c r="G20" s="10">
        <v>136</v>
      </c>
      <c r="H20" s="10">
        <v>157</v>
      </c>
    </row>
    <row r="21" spans="1:8" ht="15.75" thickBot="1" x14ac:dyDescent="0.3">
      <c r="A21" s="11" t="s">
        <v>121</v>
      </c>
      <c r="B21" s="10">
        <v>79</v>
      </c>
      <c r="C21" s="10">
        <v>99</v>
      </c>
      <c r="D21" s="10">
        <v>116</v>
      </c>
      <c r="E21" s="10">
        <v>135</v>
      </c>
      <c r="F21" s="10">
        <v>150</v>
      </c>
      <c r="G21" s="10">
        <v>165</v>
      </c>
      <c r="H21" s="10">
        <v>190</v>
      </c>
    </row>
    <row r="22" spans="1:8" ht="15.75" thickBot="1" x14ac:dyDescent="0.3"/>
    <row r="23" spans="1:8" ht="15.75" thickBot="1" x14ac:dyDescent="0.3">
      <c r="A23" s="9" t="s">
        <v>95</v>
      </c>
    </row>
    <row r="24" spans="1:8" ht="15.75" thickBot="1" x14ac:dyDescent="0.3">
      <c r="A24" s="78" t="s">
        <v>107</v>
      </c>
      <c r="B24" s="80" t="s">
        <v>108</v>
      </c>
      <c r="C24" s="81"/>
      <c r="D24" s="81"/>
      <c r="E24" s="81"/>
      <c r="F24" s="81"/>
      <c r="G24" s="81"/>
      <c r="H24" s="82"/>
    </row>
    <row r="25" spans="1:8" ht="15.75" thickBot="1" x14ac:dyDescent="0.3">
      <c r="A25" s="79"/>
      <c r="B25" s="10" t="s">
        <v>109</v>
      </c>
      <c r="C25" s="10" t="s">
        <v>110</v>
      </c>
      <c r="D25" s="10" t="s">
        <v>111</v>
      </c>
      <c r="E25" s="10" t="s">
        <v>112</v>
      </c>
      <c r="F25" s="10" t="s">
        <v>123</v>
      </c>
      <c r="G25" s="10" t="s">
        <v>113</v>
      </c>
      <c r="H25" s="10" t="s">
        <v>114</v>
      </c>
    </row>
    <row r="26" spans="1:8" ht="15.75" thickBot="1" x14ac:dyDescent="0.3">
      <c r="A26" s="11" t="s">
        <v>115</v>
      </c>
      <c r="B26" s="10">
        <v>33</v>
      </c>
      <c r="C26" s="10">
        <v>44</v>
      </c>
      <c r="D26" s="10">
        <v>53</v>
      </c>
      <c r="E26" s="10">
        <v>62</v>
      </c>
      <c r="F26" s="10">
        <v>68</v>
      </c>
      <c r="G26" s="10">
        <v>74</v>
      </c>
      <c r="H26" s="10">
        <v>85</v>
      </c>
    </row>
    <row r="27" spans="1:8" ht="15.75" thickBot="1" x14ac:dyDescent="0.3">
      <c r="A27" s="11" t="s">
        <v>116</v>
      </c>
      <c r="B27" s="10">
        <v>40</v>
      </c>
      <c r="C27" s="10">
        <v>52</v>
      </c>
      <c r="D27" s="10">
        <v>60</v>
      </c>
      <c r="E27" s="10">
        <v>70</v>
      </c>
      <c r="F27" s="10">
        <v>76</v>
      </c>
      <c r="G27" s="10">
        <v>82</v>
      </c>
      <c r="H27" s="10">
        <v>96</v>
      </c>
    </row>
    <row r="28" spans="1:8" ht="15.75" thickBot="1" x14ac:dyDescent="0.3">
      <c r="A28" s="11" t="s">
        <v>117</v>
      </c>
      <c r="B28" s="10">
        <v>47</v>
      </c>
      <c r="C28" s="10">
        <v>59</v>
      </c>
      <c r="D28" s="10">
        <v>69</v>
      </c>
      <c r="E28" s="10">
        <v>79</v>
      </c>
      <c r="F28" s="10">
        <v>85</v>
      </c>
      <c r="G28" s="10">
        <v>92</v>
      </c>
      <c r="H28" s="10">
        <v>110</v>
      </c>
    </row>
    <row r="29" spans="1:8" ht="15.75" thickBot="1" x14ac:dyDescent="0.3">
      <c r="A29" s="11" t="s">
        <v>118</v>
      </c>
      <c r="B29" s="10">
        <v>52</v>
      </c>
      <c r="C29" s="10">
        <v>65</v>
      </c>
      <c r="D29" s="10">
        <v>76</v>
      </c>
      <c r="E29" s="10">
        <v>87</v>
      </c>
      <c r="F29" s="10">
        <v>94</v>
      </c>
      <c r="G29" s="10">
        <v>102</v>
      </c>
      <c r="H29" s="10">
        <v>122</v>
      </c>
    </row>
    <row r="30" spans="1:8" ht="15.75" thickBot="1" x14ac:dyDescent="0.3">
      <c r="A30" s="11" t="s">
        <v>119</v>
      </c>
      <c r="B30" s="10">
        <v>60</v>
      </c>
      <c r="C30" s="10">
        <v>75</v>
      </c>
      <c r="D30" s="10">
        <v>88</v>
      </c>
      <c r="E30" s="10">
        <v>100</v>
      </c>
      <c r="F30" s="10">
        <v>109</v>
      </c>
      <c r="G30" s="10">
        <v>118</v>
      </c>
      <c r="H30" s="10">
        <v>141</v>
      </c>
    </row>
    <row r="31" spans="1:8" ht="15.75" thickBot="1" x14ac:dyDescent="0.3">
      <c r="A31" s="11" t="s">
        <v>120</v>
      </c>
      <c r="B31" s="10">
        <v>76</v>
      </c>
      <c r="C31" s="10">
        <v>96</v>
      </c>
      <c r="D31" s="10">
        <v>112</v>
      </c>
      <c r="E31" s="10">
        <v>129</v>
      </c>
      <c r="F31" s="10">
        <v>142</v>
      </c>
      <c r="G31" s="10">
        <v>155</v>
      </c>
      <c r="H31" s="10">
        <v>179</v>
      </c>
    </row>
    <row r="32" spans="1:8" ht="15.75" thickBot="1" x14ac:dyDescent="0.3">
      <c r="A32" s="11" t="s">
        <v>121</v>
      </c>
      <c r="B32" s="10">
        <v>93</v>
      </c>
      <c r="C32" s="10">
        <v>116</v>
      </c>
      <c r="D32" s="10">
        <v>136</v>
      </c>
      <c r="E32" s="10">
        <v>159</v>
      </c>
      <c r="F32" s="10">
        <v>176</v>
      </c>
      <c r="G32" s="10">
        <v>194</v>
      </c>
      <c r="H32" s="10">
        <v>224</v>
      </c>
    </row>
    <row r="33" spans="1:9" ht="15.75" thickBot="1" x14ac:dyDescent="0.3"/>
    <row r="34" spans="1:9" ht="15.75" thickBot="1" x14ac:dyDescent="0.3">
      <c r="A34" s="9" t="s">
        <v>96</v>
      </c>
    </row>
    <row r="35" spans="1:9" ht="15.75" thickBot="1" x14ac:dyDescent="0.3">
      <c r="A35" s="78" t="s">
        <v>107</v>
      </c>
      <c r="B35" s="80" t="s">
        <v>108</v>
      </c>
      <c r="C35" s="81"/>
      <c r="D35" s="81"/>
      <c r="E35" s="81"/>
      <c r="F35" s="81"/>
      <c r="G35" s="81"/>
      <c r="H35" s="82"/>
    </row>
    <row r="36" spans="1:9" ht="15.75" thickBot="1" x14ac:dyDescent="0.3">
      <c r="A36" s="79"/>
      <c r="B36" s="10" t="s">
        <v>109</v>
      </c>
      <c r="C36" s="10" t="s">
        <v>110</v>
      </c>
      <c r="D36" s="10" t="s">
        <v>111</v>
      </c>
      <c r="E36" s="10" t="s">
        <v>112</v>
      </c>
      <c r="F36" s="10" t="s">
        <v>123</v>
      </c>
      <c r="G36" s="10" t="s">
        <v>113</v>
      </c>
      <c r="H36" s="10" t="s">
        <v>114</v>
      </c>
    </row>
    <row r="37" spans="1:9" ht="15.75" thickBot="1" x14ac:dyDescent="0.3">
      <c r="A37" s="11" t="s">
        <v>115</v>
      </c>
      <c r="B37" s="10">
        <v>35</v>
      </c>
      <c r="C37" s="10">
        <v>47</v>
      </c>
      <c r="D37" s="10">
        <v>56</v>
      </c>
      <c r="E37" s="10">
        <v>66</v>
      </c>
      <c r="F37" s="10">
        <v>72</v>
      </c>
      <c r="G37" s="10">
        <v>79</v>
      </c>
      <c r="H37" s="10">
        <v>90</v>
      </c>
    </row>
    <row r="38" spans="1:9" ht="15.75" thickBot="1" x14ac:dyDescent="0.3">
      <c r="A38" s="11" t="s">
        <v>116</v>
      </c>
      <c r="B38" s="10">
        <v>44</v>
      </c>
      <c r="C38" s="10">
        <v>57</v>
      </c>
      <c r="D38" s="10">
        <v>67</v>
      </c>
      <c r="E38" s="10">
        <v>77</v>
      </c>
      <c r="F38" s="10">
        <v>84</v>
      </c>
      <c r="G38" s="10">
        <v>91</v>
      </c>
      <c r="H38" s="10">
        <v>107</v>
      </c>
    </row>
    <row r="39" spans="1:9" ht="15.75" thickBot="1" x14ac:dyDescent="0.3">
      <c r="A39" s="11" t="s">
        <v>117</v>
      </c>
      <c r="B39" s="10">
        <v>51</v>
      </c>
      <c r="C39" s="10">
        <v>65</v>
      </c>
      <c r="D39" s="10">
        <v>76</v>
      </c>
      <c r="E39" s="10">
        <v>88</v>
      </c>
      <c r="F39" s="10">
        <v>95</v>
      </c>
      <c r="G39" s="10">
        <v>103</v>
      </c>
      <c r="H39" s="10">
        <v>122</v>
      </c>
    </row>
    <row r="40" spans="1:9" ht="15.75" thickBot="1" x14ac:dyDescent="0.3">
      <c r="A40" s="11" t="s">
        <v>118</v>
      </c>
      <c r="B40" s="10">
        <v>57</v>
      </c>
      <c r="C40" s="10">
        <v>73</v>
      </c>
      <c r="D40" s="10">
        <v>84</v>
      </c>
      <c r="E40" s="10">
        <v>97</v>
      </c>
      <c r="F40" s="10">
        <v>105</v>
      </c>
      <c r="G40" s="10">
        <v>114</v>
      </c>
      <c r="H40" s="10">
        <v>134</v>
      </c>
    </row>
    <row r="41" spans="1:9" ht="15.75" thickBot="1" x14ac:dyDescent="0.3">
      <c r="A41" s="11" t="s">
        <v>119</v>
      </c>
      <c r="B41" s="10">
        <v>67</v>
      </c>
      <c r="C41" s="10">
        <v>84</v>
      </c>
      <c r="D41" s="10">
        <v>98</v>
      </c>
      <c r="E41" s="10">
        <v>113</v>
      </c>
      <c r="F41" s="10">
        <v>122</v>
      </c>
      <c r="G41" s="10">
        <v>134</v>
      </c>
      <c r="H41" s="10">
        <v>157</v>
      </c>
    </row>
    <row r="42" spans="1:9" ht="15.75" thickBot="1" x14ac:dyDescent="0.3">
      <c r="A42" s="11" t="s">
        <v>120</v>
      </c>
      <c r="B42" s="10">
        <v>87</v>
      </c>
      <c r="C42" s="10">
        <v>110</v>
      </c>
      <c r="D42" s="10">
        <v>129</v>
      </c>
      <c r="E42" s="10">
        <v>149</v>
      </c>
      <c r="F42" s="10">
        <v>164</v>
      </c>
      <c r="G42" s="10">
        <v>179</v>
      </c>
      <c r="H42" s="10">
        <v>204</v>
      </c>
    </row>
    <row r="43" spans="1:9" ht="15.75" thickBot="1" x14ac:dyDescent="0.3">
      <c r="A43" s="11" t="s">
        <v>121</v>
      </c>
      <c r="B43" s="10">
        <v>107</v>
      </c>
      <c r="C43" s="10">
        <v>136</v>
      </c>
      <c r="D43" s="10">
        <v>161</v>
      </c>
      <c r="E43" s="10">
        <v>190</v>
      </c>
      <c r="F43" s="10">
        <v>211</v>
      </c>
      <c r="G43" s="10">
        <v>232</v>
      </c>
      <c r="H43" s="10">
        <v>267</v>
      </c>
    </row>
    <row r="45" spans="1:9" ht="16.5" thickBot="1" x14ac:dyDescent="0.3">
      <c r="A45" s="6" t="s">
        <v>128</v>
      </c>
    </row>
    <row r="46" spans="1:9" ht="15.75" thickBot="1" x14ac:dyDescent="0.3">
      <c r="A46" s="14" t="s">
        <v>107</v>
      </c>
      <c r="B46" s="15" t="s">
        <v>129</v>
      </c>
      <c r="C46" s="15" t="s">
        <v>130</v>
      </c>
      <c r="D46" s="15" t="s">
        <v>131</v>
      </c>
      <c r="E46" s="15" t="s">
        <v>115</v>
      </c>
      <c r="F46" s="15" t="s">
        <v>116</v>
      </c>
      <c r="G46" s="15" t="s">
        <v>117</v>
      </c>
      <c r="H46" s="15" t="s">
        <v>119</v>
      </c>
      <c r="I46" s="15" t="s">
        <v>120</v>
      </c>
    </row>
    <row r="47" spans="1:9" ht="15.75" thickBot="1" x14ac:dyDescent="0.3">
      <c r="A47" s="16" t="s">
        <v>132</v>
      </c>
      <c r="B47" s="17" t="s">
        <v>133</v>
      </c>
      <c r="C47" s="17" t="s">
        <v>134</v>
      </c>
      <c r="D47" s="17" t="s">
        <v>135</v>
      </c>
      <c r="E47" s="17" t="s">
        <v>138</v>
      </c>
      <c r="F47" s="17" t="s">
        <v>139</v>
      </c>
      <c r="G47" s="17" t="s">
        <v>140</v>
      </c>
      <c r="H47" s="17" t="s">
        <v>136</v>
      </c>
      <c r="I47" s="17" t="s">
        <v>137</v>
      </c>
    </row>
  </sheetData>
  <sheetProtection sheet="1" objects="1" scenarios="1" selectLockedCells="1"/>
  <mergeCells count="8">
    <mergeCell ref="A35:A36"/>
    <mergeCell ref="B35:H35"/>
    <mergeCell ref="A5:A6"/>
    <mergeCell ref="B5:H5"/>
    <mergeCell ref="A13:A14"/>
    <mergeCell ref="B13:H13"/>
    <mergeCell ref="A24:A25"/>
    <mergeCell ref="B24:H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2:P22"/>
  <sheetViews>
    <sheetView workbookViewId="0">
      <selection activeCell="D14" sqref="D14"/>
    </sheetView>
  </sheetViews>
  <sheetFormatPr baseColWidth="10" defaultRowHeight="15" x14ac:dyDescent="0.25"/>
  <cols>
    <col min="6" max="6" width="11.7109375" customWidth="1"/>
  </cols>
  <sheetData>
    <row r="2" spans="1:16" x14ac:dyDescent="0.25">
      <c r="A2" s="2" t="s">
        <v>19</v>
      </c>
      <c r="D2" s="1" t="s">
        <v>27</v>
      </c>
      <c r="F2" s="2" t="s">
        <v>36</v>
      </c>
      <c r="H2" s="2" t="s">
        <v>37</v>
      </c>
      <c r="J2" s="2" t="s">
        <v>38</v>
      </c>
      <c r="L2" s="2" t="s">
        <v>50</v>
      </c>
      <c r="N2" s="2" t="s">
        <v>54</v>
      </c>
      <c r="P2" s="2" t="s">
        <v>62</v>
      </c>
    </row>
    <row r="3" spans="1:16" x14ac:dyDescent="0.25">
      <c r="A3" s="3" t="s">
        <v>49</v>
      </c>
      <c r="D3" s="3" t="s">
        <v>49</v>
      </c>
      <c r="F3" s="3" t="s">
        <v>49</v>
      </c>
      <c r="H3" s="3" t="s">
        <v>49</v>
      </c>
      <c r="J3" s="3" t="s">
        <v>49</v>
      </c>
      <c r="L3" s="3" t="s">
        <v>49</v>
      </c>
      <c r="N3" s="3" t="s">
        <v>49</v>
      </c>
      <c r="P3" t="s">
        <v>70</v>
      </c>
    </row>
    <row r="4" spans="1:16" x14ac:dyDescent="0.25">
      <c r="A4" t="s">
        <v>26</v>
      </c>
      <c r="D4" t="s">
        <v>34</v>
      </c>
      <c r="F4" t="s">
        <v>28</v>
      </c>
      <c r="H4" t="s">
        <v>43</v>
      </c>
      <c r="J4" t="s">
        <v>47</v>
      </c>
      <c r="L4" t="s">
        <v>51</v>
      </c>
      <c r="N4" t="s">
        <v>55</v>
      </c>
      <c r="P4" t="s">
        <v>67</v>
      </c>
    </row>
    <row r="5" spans="1:16" x14ac:dyDescent="0.25">
      <c r="A5" t="s">
        <v>24</v>
      </c>
      <c r="D5" t="s">
        <v>29</v>
      </c>
      <c r="F5" t="s">
        <v>39</v>
      </c>
      <c r="H5" t="s">
        <v>44</v>
      </c>
      <c r="J5" t="s">
        <v>46</v>
      </c>
      <c r="L5" t="s">
        <v>52</v>
      </c>
      <c r="N5" t="s">
        <v>56</v>
      </c>
      <c r="P5" t="s">
        <v>73</v>
      </c>
    </row>
    <row r="6" spans="1:16" x14ac:dyDescent="0.25">
      <c r="A6" t="s">
        <v>23</v>
      </c>
      <c r="D6" t="s">
        <v>33</v>
      </c>
      <c r="F6" t="s">
        <v>40</v>
      </c>
      <c r="H6" t="s">
        <v>86</v>
      </c>
      <c r="J6" t="s">
        <v>45</v>
      </c>
      <c r="L6" t="s">
        <v>53</v>
      </c>
      <c r="N6" t="s">
        <v>57</v>
      </c>
      <c r="P6" t="s">
        <v>66</v>
      </c>
    </row>
    <row r="7" spans="1:16" x14ac:dyDescent="0.25">
      <c r="A7" t="s">
        <v>22</v>
      </c>
      <c r="D7" t="s">
        <v>30</v>
      </c>
      <c r="F7" t="s">
        <v>42</v>
      </c>
      <c r="N7" t="s">
        <v>58</v>
      </c>
      <c r="P7" t="s">
        <v>71</v>
      </c>
    </row>
    <row r="8" spans="1:16" x14ac:dyDescent="0.25">
      <c r="A8" t="s">
        <v>21</v>
      </c>
      <c r="D8" t="s">
        <v>31</v>
      </c>
      <c r="F8" t="s">
        <v>41</v>
      </c>
      <c r="N8" t="s">
        <v>60</v>
      </c>
      <c r="P8" t="s">
        <v>65</v>
      </c>
    </row>
    <row r="9" spans="1:16" x14ac:dyDescent="0.25">
      <c r="A9" t="s">
        <v>20</v>
      </c>
      <c r="D9" t="s">
        <v>32</v>
      </c>
      <c r="N9" t="s">
        <v>59</v>
      </c>
      <c r="P9" t="s">
        <v>68</v>
      </c>
    </row>
    <row r="10" spans="1:16" x14ac:dyDescent="0.25">
      <c r="A10" t="s">
        <v>25</v>
      </c>
      <c r="D10" t="s">
        <v>35</v>
      </c>
      <c r="P10" t="s">
        <v>64</v>
      </c>
    </row>
    <row r="11" spans="1:16" x14ac:dyDescent="0.25">
      <c r="D11" t="s">
        <v>48</v>
      </c>
      <c r="P11" t="s">
        <v>72</v>
      </c>
    </row>
    <row r="12" spans="1:16" x14ac:dyDescent="0.25">
      <c r="P12" t="s">
        <v>69</v>
      </c>
    </row>
    <row r="13" spans="1:16" x14ac:dyDescent="0.25">
      <c r="P13" t="s">
        <v>63</v>
      </c>
    </row>
    <row r="14" spans="1:16" x14ac:dyDescent="0.25">
      <c r="P14" t="s">
        <v>74</v>
      </c>
    </row>
    <row r="18" spans="1:7" x14ac:dyDescent="0.25">
      <c r="A18" s="2" t="s">
        <v>78</v>
      </c>
      <c r="D18" s="2" t="s">
        <v>81</v>
      </c>
      <c r="G18" t="s">
        <v>93</v>
      </c>
    </row>
    <row r="19" spans="1:7" x14ac:dyDescent="0.25">
      <c r="A19" s="3" t="s">
        <v>49</v>
      </c>
      <c r="D19" s="3" t="s">
        <v>49</v>
      </c>
      <c r="G19" s="3" t="s">
        <v>49</v>
      </c>
    </row>
    <row r="20" spans="1:7" x14ac:dyDescent="0.25">
      <c r="A20" t="s">
        <v>79</v>
      </c>
      <c r="D20" t="s">
        <v>82</v>
      </c>
      <c r="G20" t="s">
        <v>94</v>
      </c>
    </row>
    <row r="21" spans="1:7" x14ac:dyDescent="0.25">
      <c r="A21" t="s">
        <v>80</v>
      </c>
      <c r="D21" t="s">
        <v>84</v>
      </c>
      <c r="G21" t="s">
        <v>95</v>
      </c>
    </row>
    <row r="22" spans="1:7" x14ac:dyDescent="0.25">
      <c r="D22" t="s">
        <v>83</v>
      </c>
      <c r="G22" t="s">
        <v>96</v>
      </c>
    </row>
  </sheetData>
  <sheetProtection sheet="1" objects="1" scenarios="1" selectLockedCells="1"/>
  <sortState ref="P3:P14">
    <sortCondition ref="P3:P1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11</vt:i4>
      </vt:variant>
    </vt:vector>
  </HeadingPairs>
  <TitlesOfParts>
    <vt:vector size="16" baseType="lpstr">
      <vt:lpstr>Guide</vt:lpstr>
      <vt:lpstr>Site et projet</vt:lpstr>
      <vt:lpstr>Compensation</vt:lpstr>
      <vt:lpstr>Pluies</vt:lpstr>
      <vt:lpstr>Listes déroulantes</vt:lpstr>
      <vt:lpstr>Agricole</vt:lpstr>
      <vt:lpstr>Communes</vt:lpstr>
      <vt:lpstr>Couverture_sols</vt:lpstr>
      <vt:lpstr>Densité_drainage</vt:lpstr>
      <vt:lpstr>Dispositif</vt:lpstr>
      <vt:lpstr>Etat_bassin</vt:lpstr>
      <vt:lpstr>Géologie</vt:lpstr>
      <vt:lpstr>Habitat</vt:lpstr>
      <vt:lpstr>Nature_drain</vt:lpstr>
      <vt:lpstr>Naturel</vt:lpstr>
      <vt:lpstr>Sensité_drainage</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Stenou</dc:creator>
  <cp:lastModifiedBy>Hervé Bousquet</cp:lastModifiedBy>
  <dcterms:created xsi:type="dcterms:W3CDTF">2018-02-05T14:15:26Z</dcterms:created>
  <dcterms:modified xsi:type="dcterms:W3CDTF">2020-06-30T14:03:41Z</dcterms:modified>
</cp:coreProperties>
</file>